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3255" windowWidth="15480" windowHeight="4755"/>
  </bookViews>
  <sheets>
    <sheet name="Plan inversión" sheetId="1" r:id="rId1"/>
    <sheet name="Plan financiación" sheetId="2" r:id="rId2"/>
    <sheet name="Análisis proyecto" sheetId="3" r:id="rId3"/>
    <sheet name="Gráficos" sheetId="4" r:id="rId4"/>
  </sheets>
  <calcPr calcId="125725"/>
</workbook>
</file>

<file path=xl/calcChain.xml><?xml version="1.0" encoding="utf-8"?>
<calcChain xmlns="http://schemas.openxmlformats.org/spreadsheetml/2006/main">
  <c r="F8" i="2"/>
  <c r="C9" i="3"/>
  <c r="E22" i="1"/>
  <c r="C43"/>
  <c r="C36"/>
  <c r="C28"/>
  <c r="Y5" i="2"/>
  <c r="X5"/>
  <c r="W5"/>
  <c r="V5"/>
  <c r="U5"/>
  <c r="T5"/>
  <c r="S5"/>
  <c r="R5"/>
  <c r="Q5"/>
  <c r="P5"/>
  <c r="O5"/>
  <c r="N5"/>
  <c r="M5"/>
  <c r="L5"/>
  <c r="K5"/>
  <c r="J5"/>
  <c r="I5"/>
  <c r="H5"/>
  <c r="G5"/>
  <c r="F5"/>
  <c r="F9"/>
  <c r="G9" s="1"/>
  <c r="H9" s="1"/>
  <c r="I9" s="1"/>
  <c r="J9" s="1"/>
  <c r="K9" s="1"/>
  <c r="L9" s="1"/>
  <c r="M9" s="1"/>
  <c r="N9" s="1"/>
  <c r="O9" s="1"/>
  <c r="P9" s="1"/>
  <c r="Q9" s="1"/>
  <c r="R9" s="1"/>
  <c r="S9" s="1"/>
  <c r="T9" s="1"/>
  <c r="U9" s="1"/>
  <c r="V9" s="1"/>
  <c r="W9" s="1"/>
  <c r="X9" s="1"/>
  <c r="Y9" s="1"/>
  <c r="D25" i="1" l="1"/>
  <c r="C4" i="3"/>
  <c r="C10"/>
  <c r="C16"/>
  <c r="H42" i="2"/>
  <c r="L19"/>
  <c r="M20" s="1"/>
  <c r="I33"/>
  <c r="O25" s="1"/>
  <c r="C5" i="3"/>
  <c r="K39" i="2"/>
  <c r="K38"/>
  <c r="K37"/>
  <c r="K36"/>
  <c r="K35"/>
  <c r="K34"/>
  <c r="K33"/>
  <c r="K32"/>
  <c r="K31"/>
  <c r="K30"/>
  <c r="K29"/>
  <c r="K28"/>
  <c r="K27"/>
  <c r="K26"/>
  <c r="K25"/>
  <c r="K24"/>
  <c r="K23"/>
  <c r="K22"/>
  <c r="K21"/>
  <c r="K20"/>
  <c r="Y3"/>
  <c r="X3"/>
  <c r="W3"/>
  <c r="V3"/>
  <c r="U3"/>
  <c r="T3"/>
  <c r="S3"/>
  <c r="R3"/>
  <c r="Q3"/>
  <c r="P3"/>
  <c r="O3"/>
  <c r="N3"/>
  <c r="M3"/>
  <c r="L3"/>
  <c r="K3"/>
  <c r="J3"/>
  <c r="I3"/>
  <c r="H3"/>
  <c r="G3"/>
  <c r="F3"/>
  <c r="D22" i="1"/>
  <c r="W22"/>
  <c r="V22"/>
  <c r="U22"/>
  <c r="T22"/>
  <c r="S22"/>
  <c r="R22"/>
  <c r="Q22"/>
  <c r="P22"/>
  <c r="O22"/>
  <c r="N22"/>
  <c r="M22"/>
  <c r="L22"/>
  <c r="K22"/>
  <c r="J22"/>
  <c r="I22"/>
  <c r="H22"/>
  <c r="G22"/>
  <c r="F22"/>
  <c r="I21" i="2"/>
  <c r="I19"/>
  <c r="A39"/>
  <c r="A38"/>
  <c r="A37"/>
  <c r="A36"/>
  <c r="A35"/>
  <c r="A34"/>
  <c r="A33"/>
  <c r="A32"/>
  <c r="A31"/>
  <c r="A30"/>
  <c r="A29"/>
  <c r="A28"/>
  <c r="A27"/>
  <c r="A26"/>
  <c r="A25"/>
  <c r="A24"/>
  <c r="A23"/>
  <c r="A22"/>
  <c r="A21"/>
  <c r="A20"/>
  <c r="C41" i="3"/>
  <c r="B19" i="2"/>
  <c r="C20" s="1"/>
  <c r="D26" i="1" l="1"/>
  <c r="D2" i="3"/>
  <c r="D34"/>
  <c r="W39"/>
  <c r="U39"/>
  <c r="S39"/>
  <c r="Q39"/>
  <c r="O39"/>
  <c r="M39"/>
  <c r="K39"/>
  <c r="I39"/>
  <c r="G39"/>
  <c r="E39"/>
  <c r="W2"/>
  <c r="U2"/>
  <c r="S2"/>
  <c r="Q2"/>
  <c r="O2"/>
  <c r="M2"/>
  <c r="K2"/>
  <c r="I2"/>
  <c r="G2"/>
  <c r="E2"/>
  <c r="V39"/>
  <c r="T39"/>
  <c r="R39"/>
  <c r="P39"/>
  <c r="N39"/>
  <c r="L39"/>
  <c r="J39"/>
  <c r="H39"/>
  <c r="F39"/>
  <c r="D39"/>
  <c r="V2"/>
  <c r="T2"/>
  <c r="R2"/>
  <c r="P2"/>
  <c r="N2"/>
  <c r="L2"/>
  <c r="J2"/>
  <c r="H2"/>
  <c r="F2"/>
  <c r="C7"/>
  <c r="C24"/>
  <c r="C19"/>
  <c r="E25" i="1"/>
  <c r="D33" i="3"/>
  <c r="D29"/>
  <c r="E29"/>
  <c r="G29"/>
  <c r="I29"/>
  <c r="K29"/>
  <c r="M29"/>
  <c r="O29"/>
  <c r="Q29"/>
  <c r="S29"/>
  <c r="U29"/>
  <c r="W29"/>
  <c r="F29"/>
  <c r="H29"/>
  <c r="J29"/>
  <c r="L29"/>
  <c r="N29"/>
  <c r="P29"/>
  <c r="R29"/>
  <c r="T29"/>
  <c r="V29"/>
  <c r="O38" i="2"/>
  <c r="O39"/>
  <c r="O35"/>
  <c r="O37"/>
  <c r="O34"/>
  <c r="O36"/>
  <c r="O28"/>
  <c r="O26"/>
  <c r="O27"/>
  <c r="O24"/>
  <c r="O23"/>
  <c r="O22"/>
  <c r="O20"/>
  <c r="N20" s="1"/>
  <c r="L20" s="1"/>
  <c r="O21"/>
  <c r="O33"/>
  <c r="O32"/>
  <c r="O29"/>
  <c r="O31"/>
  <c r="O30"/>
  <c r="I18"/>
  <c r="I24" s="1"/>
  <c r="F10" l="1"/>
  <c r="F7" s="1"/>
  <c r="D16" i="3" s="1"/>
  <c r="D4"/>
  <c r="D43" i="1"/>
  <c r="D36"/>
  <c r="D19" i="3" s="1"/>
  <c r="D9"/>
  <c r="D10" s="1"/>
  <c r="D28" i="1"/>
  <c r="E26"/>
  <c r="D31" i="3"/>
  <c r="M21" i="2"/>
  <c r="D24" i="3"/>
  <c r="F25" i="1"/>
  <c r="E33" i="3"/>
  <c r="E38" i="2"/>
  <c r="E36"/>
  <c r="E39"/>
  <c r="E37"/>
  <c r="E35"/>
  <c r="E34"/>
  <c r="E32"/>
  <c r="E30"/>
  <c r="E28"/>
  <c r="E26"/>
  <c r="E24"/>
  <c r="E22"/>
  <c r="E20"/>
  <c r="E33"/>
  <c r="E31"/>
  <c r="E29"/>
  <c r="E27"/>
  <c r="E25"/>
  <c r="E23"/>
  <c r="E21"/>
  <c r="G10" l="1"/>
  <c r="G7" s="1"/>
  <c r="E4" i="3"/>
  <c r="E5"/>
  <c r="E43" i="1"/>
  <c r="E36"/>
  <c r="D5" i="3"/>
  <c r="D7" s="1"/>
  <c r="F26" i="1"/>
  <c r="E9" i="3"/>
  <c r="E28" i="1"/>
  <c r="F33" i="3"/>
  <c r="G25" i="1"/>
  <c r="D41" i="3"/>
  <c r="N21" i="2"/>
  <c r="L21" s="1"/>
  <c r="D20"/>
  <c r="H10" l="1"/>
  <c r="F4" i="3"/>
  <c r="E7"/>
  <c r="F43" i="1"/>
  <c r="F36"/>
  <c r="F9" i="3"/>
  <c r="F28" i="1"/>
  <c r="G26"/>
  <c r="G33" i="3"/>
  <c r="B20" i="2"/>
  <c r="G8" s="1"/>
  <c r="M22"/>
  <c r="H7" l="1"/>
  <c r="F5" i="3"/>
  <c r="F7" s="1"/>
  <c r="I10" i="2"/>
  <c r="I7" s="1"/>
  <c r="G4" i="3"/>
  <c r="G43" i="1"/>
  <c r="G36"/>
  <c r="G9" i="3"/>
  <c r="G28" i="1"/>
  <c r="G5" i="3"/>
  <c r="H26" i="1"/>
  <c r="N22" i="2"/>
  <c r="L22" s="1"/>
  <c r="I25" i="1"/>
  <c r="H33" i="3"/>
  <c r="C21" i="2"/>
  <c r="E16" i="3" s="1"/>
  <c r="J10" i="2" l="1"/>
  <c r="J7" s="1"/>
  <c r="H4" i="3"/>
  <c r="G7"/>
  <c r="H43" i="1"/>
  <c r="H36"/>
  <c r="I26"/>
  <c r="H9" i="3"/>
  <c r="H28" i="1"/>
  <c r="H5" i="3"/>
  <c r="M23" i="2"/>
  <c r="N23" s="1"/>
  <c r="E24" i="3"/>
  <c r="E19"/>
  <c r="J25" i="1"/>
  <c r="I33" i="3"/>
  <c r="E34"/>
  <c r="E31" s="1"/>
  <c r="E10"/>
  <c r="D21" i="2"/>
  <c r="B21" s="1"/>
  <c r="H8" s="1"/>
  <c r="K10" l="1"/>
  <c r="K7" s="1"/>
  <c r="I4" i="3"/>
  <c r="H7"/>
  <c r="I43" i="1"/>
  <c r="I36"/>
  <c r="J26"/>
  <c r="I9" i="3"/>
  <c r="I28" i="1"/>
  <c r="I5" i="3"/>
  <c r="L23" i="2"/>
  <c r="J33" i="3"/>
  <c r="K25" i="1"/>
  <c r="E41" i="3"/>
  <c r="C22" i="2"/>
  <c r="F16" i="3" s="1"/>
  <c r="L10" i="2" l="1"/>
  <c r="L7" s="1"/>
  <c r="J4" i="3"/>
  <c r="I7"/>
  <c r="J43" i="1"/>
  <c r="J36"/>
  <c r="K26"/>
  <c r="J9" i="3"/>
  <c r="J28" i="1"/>
  <c r="M24" i="2"/>
  <c r="F19" i="3"/>
  <c r="F24"/>
  <c r="K33"/>
  <c r="L25" i="1"/>
  <c r="F34" i="3"/>
  <c r="F31" s="1"/>
  <c r="F10"/>
  <c r="F41" s="1"/>
  <c r="D22" i="2"/>
  <c r="B22" s="1"/>
  <c r="M10" l="1"/>
  <c r="M7" s="1"/>
  <c r="K4" i="3"/>
  <c r="J5"/>
  <c r="J7" s="1"/>
  <c r="K43" i="1"/>
  <c r="K36"/>
  <c r="L26"/>
  <c r="K9" i="3"/>
  <c r="K28" i="1"/>
  <c r="K5" i="3"/>
  <c r="I8" i="2"/>
  <c r="N24"/>
  <c r="L24" s="1"/>
  <c r="L33" i="3"/>
  <c r="C23" i="2"/>
  <c r="N10" l="1"/>
  <c r="N7" s="1"/>
  <c r="L4" i="3"/>
  <c r="K7"/>
  <c r="L43" i="1"/>
  <c r="L36"/>
  <c r="G16" i="3"/>
  <c r="M26" i="1"/>
  <c r="L9" i="3"/>
  <c r="L28" i="1"/>
  <c r="M25" i="2"/>
  <c r="N25" s="1"/>
  <c r="L25" s="1"/>
  <c r="G10" i="3"/>
  <c r="G19"/>
  <c r="G24"/>
  <c r="M33"/>
  <c r="N25" i="1"/>
  <c r="G34" i="3"/>
  <c r="G31" s="1"/>
  <c r="D23" i="2"/>
  <c r="B23" s="1"/>
  <c r="L5" i="3" l="1"/>
  <c r="L7" s="1"/>
  <c r="O7" i="2"/>
  <c r="M4" i="3"/>
  <c r="M43" i="1"/>
  <c r="M36"/>
  <c r="N26"/>
  <c r="M9" i="3"/>
  <c r="M28" i="1"/>
  <c r="M5" i="3"/>
  <c r="J8" i="2"/>
  <c r="M26"/>
  <c r="N26" s="1"/>
  <c r="L26" s="1"/>
  <c r="G41" i="3"/>
  <c r="N33"/>
  <c r="O25" i="1"/>
  <c r="C24" i="2"/>
  <c r="P7" l="1"/>
  <c r="N4" i="3"/>
  <c r="M7"/>
  <c r="N43" i="1"/>
  <c r="N36"/>
  <c r="O26"/>
  <c r="N9" i="3"/>
  <c r="N28" i="1"/>
  <c r="N5" i="3"/>
  <c r="H16"/>
  <c r="M27" i="2"/>
  <c r="H10" i="3"/>
  <c r="H19"/>
  <c r="H24"/>
  <c r="O33"/>
  <c r="P25" i="1"/>
  <c r="H34" i="3"/>
  <c r="H31" s="1"/>
  <c r="D24" i="2"/>
  <c r="B24" s="1"/>
  <c r="Q7" l="1"/>
  <c r="O4" i="3"/>
  <c r="N7"/>
  <c r="O43" i="1"/>
  <c r="O36"/>
  <c r="P26"/>
  <c r="O9" i="3"/>
  <c r="O28" i="1"/>
  <c r="O5" i="3"/>
  <c r="K8" i="2"/>
  <c r="N27"/>
  <c r="L27" s="1"/>
  <c r="M28"/>
  <c r="H41" i="3"/>
  <c r="P33"/>
  <c r="Q25" i="1"/>
  <c r="C25" i="2"/>
  <c r="I16" i="3" s="1"/>
  <c r="R7" i="2" l="1"/>
  <c r="P4" i="3"/>
  <c r="O7"/>
  <c r="P43" i="1"/>
  <c r="P36"/>
  <c r="Q26"/>
  <c r="P9" i="3"/>
  <c r="P28" i="1"/>
  <c r="P5" i="3"/>
  <c r="N28" i="2"/>
  <c r="L28" s="1"/>
  <c r="I10" i="3"/>
  <c r="I24"/>
  <c r="I19"/>
  <c r="Q33"/>
  <c r="R25" i="1"/>
  <c r="I34" i="3"/>
  <c r="I31" s="1"/>
  <c r="D25" i="2"/>
  <c r="B25" s="1"/>
  <c r="S7" l="1"/>
  <c r="Q4" i="3"/>
  <c r="P7"/>
  <c r="Q43" i="1"/>
  <c r="Q36"/>
  <c r="R26"/>
  <c r="Q9" i="3"/>
  <c r="Q28" i="1"/>
  <c r="Q5" i="3"/>
  <c r="L8" i="2"/>
  <c r="M29"/>
  <c r="I41" i="3"/>
  <c r="S25" i="1"/>
  <c r="R33" i="3"/>
  <c r="C26" i="2"/>
  <c r="N33"/>
  <c r="T7" l="1"/>
  <c r="R4" i="3"/>
  <c r="J16"/>
  <c r="Q7"/>
  <c r="R43" i="1"/>
  <c r="R36"/>
  <c r="R9" i="3"/>
  <c r="R28" i="1"/>
  <c r="R5" i="3"/>
  <c r="S26" i="1"/>
  <c r="N29" i="2"/>
  <c r="L29" s="1"/>
  <c r="J10" i="3"/>
  <c r="J24"/>
  <c r="J19"/>
  <c r="S33"/>
  <c r="T25" i="1"/>
  <c r="J34" i="3"/>
  <c r="J31" s="1"/>
  <c r="D26" i="2"/>
  <c r="B26" s="1"/>
  <c r="N34"/>
  <c r="U7" l="1"/>
  <c r="S4" i="3"/>
  <c r="R7"/>
  <c r="S43" i="1"/>
  <c r="S36"/>
  <c r="S9" i="3"/>
  <c r="S28" i="1"/>
  <c r="S5" i="3"/>
  <c r="T26" i="1"/>
  <c r="M8" i="2"/>
  <c r="M30"/>
  <c r="J41" i="3"/>
  <c r="T33"/>
  <c r="U25" i="1"/>
  <c r="C27" i="2"/>
  <c r="N35"/>
  <c r="V7" l="1"/>
  <c r="T4" i="3"/>
  <c r="K16"/>
  <c r="S7"/>
  <c r="T43" i="1"/>
  <c r="T36"/>
  <c r="U26"/>
  <c r="T9" i="3"/>
  <c r="T28" i="1"/>
  <c r="T5" i="3"/>
  <c r="N30" i="2"/>
  <c r="L30" s="1"/>
  <c r="M33"/>
  <c r="K10" i="3"/>
  <c r="K19"/>
  <c r="K24"/>
  <c r="V25" i="1"/>
  <c r="U33" i="3"/>
  <c r="D27" i="2"/>
  <c r="B27" s="1"/>
  <c r="N8" s="1"/>
  <c r="K34" i="3"/>
  <c r="K31" s="1"/>
  <c r="N36" i="2"/>
  <c r="W7" l="1"/>
  <c r="U4" i="3"/>
  <c r="T7"/>
  <c r="U43" i="1"/>
  <c r="U36"/>
  <c r="V26"/>
  <c r="U9" i="3"/>
  <c r="U28" i="1"/>
  <c r="U5" i="3"/>
  <c r="M31" i="2"/>
  <c r="M34"/>
  <c r="K41" i="3"/>
  <c r="V33"/>
  <c r="W25" i="1"/>
  <c r="C28" i="2"/>
  <c r="L16" i="3" s="1"/>
  <c r="M37" i="2"/>
  <c r="X7" l="1"/>
  <c r="V4" i="3"/>
  <c r="U7"/>
  <c r="V43" i="1"/>
  <c r="V36"/>
  <c r="W26"/>
  <c r="V9" i="3"/>
  <c r="V28" i="1"/>
  <c r="V5" i="3"/>
  <c r="N37" i="2"/>
  <c r="N31"/>
  <c r="L31" s="1"/>
  <c r="M35"/>
  <c r="L10" i="3"/>
  <c r="L19"/>
  <c r="L24"/>
  <c r="W33"/>
  <c r="D28" i="2"/>
  <c r="B28" s="1"/>
  <c r="O8" s="1"/>
  <c r="L34" i="3"/>
  <c r="L31" s="1"/>
  <c r="M38" i="2"/>
  <c r="Y7" l="1"/>
  <c r="W4" i="3"/>
  <c r="V7"/>
  <c r="W43" i="1"/>
  <c r="W36"/>
  <c r="W9" i="3"/>
  <c r="W28" i="1"/>
  <c r="X28" s="1"/>
  <c r="D32" s="1"/>
  <c r="N38" i="2"/>
  <c r="M32"/>
  <c r="M36"/>
  <c r="L41" i="3"/>
  <c r="X43" i="1"/>
  <c r="C29" i="2"/>
  <c r="M16" i="3" s="1"/>
  <c r="M39" i="2"/>
  <c r="D30" i="1" l="1"/>
  <c r="W5" i="3"/>
  <c r="X36" i="1"/>
  <c r="D38" s="1"/>
  <c r="W7" i="3"/>
  <c r="N39" i="2"/>
  <c r="N32"/>
  <c r="L32" s="1"/>
  <c r="D46" i="1"/>
  <c r="D45"/>
  <c r="M10" i="3"/>
  <c r="M41" s="1"/>
  <c r="M19"/>
  <c r="M24"/>
  <c r="D29" i="2"/>
  <c r="B29" s="1"/>
  <c r="P8" s="1"/>
  <c r="M34" i="3"/>
  <c r="M31" s="1"/>
  <c r="D39" i="1" l="1"/>
  <c r="L33" i="2"/>
  <c r="C30"/>
  <c r="N16" i="3" s="1"/>
  <c r="L34" i="2" l="1"/>
  <c r="N10" i="3"/>
  <c r="N41" s="1"/>
  <c r="N24"/>
  <c r="N19"/>
  <c r="D30" i="2"/>
  <c r="B30" s="1"/>
  <c r="Q8" s="1"/>
  <c r="N34" i="3"/>
  <c r="N31" s="1"/>
  <c r="L35" i="2" l="1"/>
  <c r="C31"/>
  <c r="O16" i="3" s="1"/>
  <c r="L36" i="2" l="1"/>
  <c r="O10" i="3"/>
  <c r="O41" s="1"/>
  <c r="O19"/>
  <c r="O24"/>
  <c r="O34"/>
  <c r="O31" s="1"/>
  <c r="D31" i="2"/>
  <c r="B31" s="1"/>
  <c r="R8" s="1"/>
  <c r="L37" l="1"/>
  <c r="C32"/>
  <c r="P16" i="3" s="1"/>
  <c r="L38" i="2" l="1"/>
  <c r="P10" i="3"/>
  <c r="P41" s="1"/>
  <c r="P19"/>
  <c r="P24"/>
  <c r="P34"/>
  <c r="P31" s="1"/>
  <c r="D32" i="2"/>
  <c r="B32" s="1"/>
  <c r="S8" s="1"/>
  <c r="L39" l="1"/>
  <c r="C33"/>
  <c r="Q16" i="3" s="1"/>
  <c r="Q10" l="1"/>
  <c r="Q41" s="1"/>
  <c r="Q19"/>
  <c r="Q24"/>
  <c r="Q34"/>
  <c r="Q31" s="1"/>
  <c r="D33" i="2"/>
  <c r="B33" s="1"/>
  <c r="T8" s="1"/>
  <c r="C34" l="1"/>
  <c r="R16" i="3" s="1"/>
  <c r="R10" l="1"/>
  <c r="R41" s="1"/>
  <c r="R19"/>
  <c r="R24"/>
  <c r="R34"/>
  <c r="R31" s="1"/>
  <c r="D34" i="2"/>
  <c r="B34" s="1"/>
  <c r="U8" s="1"/>
  <c r="C35" l="1"/>
  <c r="S16" i="3" s="1"/>
  <c r="S10" l="1"/>
  <c r="S41" s="1"/>
  <c r="S24"/>
  <c r="S19"/>
  <c r="S34"/>
  <c r="S31" s="1"/>
  <c r="D35" i="2"/>
  <c r="B35" s="1"/>
  <c r="V8" s="1"/>
  <c r="C36" l="1"/>
  <c r="T16" i="3" s="1"/>
  <c r="T10" l="1"/>
  <c r="T41" s="1"/>
  <c r="T19"/>
  <c r="T24"/>
  <c r="T34"/>
  <c r="T31" s="1"/>
  <c r="D36" i="2"/>
  <c r="B36" s="1"/>
  <c r="W8" s="1"/>
  <c r="C37" l="1"/>
  <c r="U16" i="3" s="1"/>
  <c r="U10" l="1"/>
  <c r="U41" s="1"/>
  <c r="U24"/>
  <c r="U19"/>
  <c r="U34"/>
  <c r="U31" s="1"/>
  <c r="D37" i="2"/>
  <c r="B37" s="1"/>
  <c r="X8" s="1"/>
  <c r="C38" l="1"/>
  <c r="V16" i="3" s="1"/>
  <c r="V10" l="1"/>
  <c r="V41" s="1"/>
  <c r="V19"/>
  <c r="V24"/>
  <c r="V34"/>
  <c r="V31" s="1"/>
  <c r="D38" i="2"/>
  <c r="B38" s="1"/>
  <c r="Y8" s="1"/>
  <c r="C39" l="1"/>
  <c r="W16" i="3" s="1"/>
  <c r="F13" s="1"/>
  <c r="X9" s="1"/>
  <c r="W10" l="1"/>
  <c r="X10" s="1"/>
  <c r="W24"/>
  <c r="X24" s="1"/>
  <c r="W19"/>
  <c r="X19" s="1"/>
  <c r="W34"/>
  <c r="W31" s="1"/>
  <c r="D39" i="2"/>
  <c r="B39" s="1"/>
  <c r="C21" i="3" l="1"/>
  <c r="C20"/>
  <c r="C12"/>
  <c r="C14"/>
  <c r="C25"/>
  <c r="C26"/>
  <c r="W41"/>
</calcChain>
</file>

<file path=xl/sharedStrings.xml><?xml version="1.0" encoding="utf-8"?>
<sst xmlns="http://schemas.openxmlformats.org/spreadsheetml/2006/main" count="99" uniqueCount="69">
  <si>
    <t>Cantidad a invertir</t>
  </si>
  <si>
    <t>Años esperados de rendimiento</t>
  </si>
  <si>
    <t>Tasa variación rendimientos</t>
  </si>
  <si>
    <t>Capital propio</t>
  </si>
  <si>
    <t>Capital ajeno</t>
  </si>
  <si>
    <t>Tipo de interés</t>
  </si>
  <si>
    <t>Años préstamo</t>
  </si>
  <si>
    <t>Año 0</t>
  </si>
  <si>
    <t>EVA</t>
  </si>
  <si>
    <t>Intereses</t>
  </si>
  <si>
    <t>Cuota</t>
  </si>
  <si>
    <t>Capital pendiente</t>
  </si>
  <si>
    <t>Tipo impositivo</t>
  </si>
  <si>
    <t>BAIDI</t>
  </si>
  <si>
    <t>Coste Capital</t>
  </si>
  <si>
    <t>Años</t>
  </si>
  <si>
    <t>Tipo nominal</t>
  </si>
  <si>
    <t>Rentabilidad esperada accionistas</t>
  </si>
  <si>
    <t>Inversiones adicionales y rendimientos anuales obtenidos</t>
  </si>
  <si>
    <t>Activo no corriente</t>
  </si>
  <si>
    <t>Activo corriente</t>
  </si>
  <si>
    <t>Financiación inversion inicial</t>
  </si>
  <si>
    <t>Devolución préstamo inicial</t>
  </si>
  <si>
    <t>Financiación adicional</t>
  </si>
  <si>
    <t>Salidas dinero</t>
  </si>
  <si>
    <t>Entradas dinero</t>
  </si>
  <si>
    <t>Devolución financiación adicional</t>
  </si>
  <si>
    <t>Amortización</t>
  </si>
  <si>
    <t>Importe préstamo inicial</t>
  </si>
  <si>
    <t>Importe préstamo adicional</t>
  </si>
  <si>
    <t>Año concesión</t>
  </si>
  <si>
    <t>Años devolución</t>
  </si>
  <si>
    <t>Evolución liquidez</t>
  </si>
  <si>
    <t>Creación de valor</t>
  </si>
  <si>
    <t>Recuperación inversión</t>
  </si>
  <si>
    <t>Años financiación total</t>
  </si>
  <si>
    <t>Préstamo</t>
  </si>
  <si>
    <t>VAN proyecto</t>
  </si>
  <si>
    <t>Leyenda</t>
  </si>
  <si>
    <t>En blanco, celdas modificables</t>
  </si>
  <si>
    <t>En verde, celdas con valores no modificables</t>
  </si>
  <si>
    <t>En amarillo, celdas con fórmula propuesta pero se puede modificar el valor</t>
  </si>
  <si>
    <t>Inversión inicial</t>
  </si>
  <si>
    <t>Flujos de caja inversión</t>
  </si>
  <si>
    <t>Flujos de caja proyecto</t>
  </si>
  <si>
    <t>VAN Inversión</t>
  </si>
  <si>
    <t>Tasa actualización</t>
  </si>
  <si>
    <t>Pagos anuales</t>
  </si>
  <si>
    <t>Escenario optimista</t>
  </si>
  <si>
    <t>Desviación optimista rendimientos anuales</t>
  </si>
  <si>
    <t>Escenario pesimista</t>
  </si>
  <si>
    <t>Inicial</t>
  </si>
  <si>
    <t>WACC anual</t>
  </si>
  <si>
    <t>WACC proyecto</t>
  </si>
  <si>
    <t xml:space="preserve">   * tasa estimada independientemente del modo de financiación de la inversión</t>
  </si>
  <si>
    <t>TIR proyecto</t>
  </si>
  <si>
    <t>TIR Inversión</t>
  </si>
  <si>
    <t>Valor residual</t>
  </si>
  <si>
    <t>Payback proyecto</t>
  </si>
  <si>
    <t>Acreedores</t>
  </si>
  <si>
    <t>Reinversión beneficios</t>
  </si>
  <si>
    <t>Tasa reinversión beneficios</t>
  </si>
  <si>
    <t>Rendimiento bruto anual esperado</t>
  </si>
  <si>
    <t>Rendimientos netos anuales obtenidos</t>
  </si>
  <si>
    <t>Rendimientos brutos anuales obtenidos</t>
  </si>
  <si>
    <t>unidades</t>
  </si>
  <si>
    <t>miles</t>
  </si>
  <si>
    <t>millones</t>
  </si>
  <si>
    <t>Tasa crecimiento perpetuo</t>
  </si>
</sst>
</file>

<file path=xl/styles.xml><?xml version="1.0" encoding="utf-8"?>
<styleSheet xmlns="http://schemas.openxmlformats.org/spreadsheetml/2006/main">
  <numFmts count="2">
    <numFmt numFmtId="164" formatCode="0.0%"/>
    <numFmt numFmtId="165" formatCode="0.0000"/>
  </numFmts>
  <fonts count="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sz val="20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i/>
      <sz val="16"/>
      <color theme="1"/>
      <name val="Calibri"/>
      <family val="2"/>
      <scheme val="minor"/>
    </font>
    <font>
      <b/>
      <sz val="1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BCFF9B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theme="0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65">
    <xf numFmtId="0" fontId="0" fillId="0" borderId="0" xfId="0"/>
    <xf numFmtId="0" fontId="0" fillId="4" borderId="16" xfId="0" applyFill="1" applyBorder="1"/>
    <xf numFmtId="0" fontId="0" fillId="4" borderId="0" xfId="0" applyFill="1" applyBorder="1"/>
    <xf numFmtId="0" fontId="0" fillId="4" borderId="17" xfId="0" applyFill="1" applyBorder="1"/>
    <xf numFmtId="0" fontId="0" fillId="4" borderId="18" xfId="0" applyFill="1" applyBorder="1"/>
    <xf numFmtId="0" fontId="0" fillId="4" borderId="19" xfId="0" applyFill="1" applyBorder="1"/>
    <xf numFmtId="0" fontId="0" fillId="4" borderId="20" xfId="0" applyFill="1" applyBorder="1"/>
    <xf numFmtId="0" fontId="3" fillId="4" borderId="15" xfId="0" applyFont="1" applyFill="1" applyBorder="1"/>
    <xf numFmtId="0" fontId="3" fillId="4" borderId="7" xfId="0" applyFont="1" applyFill="1" applyBorder="1"/>
    <xf numFmtId="0" fontId="3" fillId="4" borderId="8" xfId="0" applyFont="1" applyFill="1" applyBorder="1"/>
    <xf numFmtId="0" fontId="3" fillId="0" borderId="0" xfId="0" applyFont="1"/>
    <xf numFmtId="0" fontId="3" fillId="4" borderId="16" xfId="0" applyFont="1" applyFill="1" applyBorder="1"/>
    <xf numFmtId="0" fontId="3" fillId="4" borderId="0" xfId="0" applyFont="1" applyFill="1" applyBorder="1"/>
    <xf numFmtId="0" fontId="3" fillId="4" borderId="17" xfId="0" applyFont="1" applyFill="1" applyBorder="1"/>
    <xf numFmtId="0" fontId="5" fillId="2" borderId="11" xfId="0" applyFont="1" applyFill="1" applyBorder="1"/>
    <xf numFmtId="4" fontId="4" fillId="0" borderId="12" xfId="0" applyNumberFormat="1" applyFont="1" applyBorder="1"/>
    <xf numFmtId="0" fontId="4" fillId="0" borderId="12" xfId="0" applyFont="1" applyBorder="1"/>
    <xf numFmtId="164" fontId="4" fillId="0" borderId="12" xfId="1" applyNumberFormat="1" applyFont="1" applyBorder="1"/>
    <xf numFmtId="0" fontId="5" fillId="2" borderId="13" xfId="0" applyFont="1" applyFill="1" applyBorder="1"/>
    <xf numFmtId="0" fontId="4" fillId="3" borderId="23" xfId="0" applyFont="1" applyFill="1" applyBorder="1" applyAlignment="1"/>
    <xf numFmtId="0" fontId="4" fillId="3" borderId="24" xfId="0" applyFont="1" applyFill="1" applyBorder="1" applyAlignment="1"/>
    <xf numFmtId="0" fontId="4" fillId="3" borderId="25" xfId="0" applyFont="1" applyFill="1" applyBorder="1" applyAlignment="1"/>
    <xf numFmtId="0" fontId="5" fillId="2" borderId="1" xfId="0" applyFont="1" applyFill="1" applyBorder="1"/>
    <xf numFmtId="0" fontId="5" fillId="2" borderId="12" xfId="0" applyFont="1" applyFill="1" applyBorder="1"/>
    <xf numFmtId="0" fontId="3" fillId="0" borderId="12" xfId="0" applyFont="1" applyFill="1" applyBorder="1"/>
    <xf numFmtId="0" fontId="3" fillId="4" borderId="18" xfId="0" applyFont="1" applyFill="1" applyBorder="1"/>
    <xf numFmtId="0" fontId="3" fillId="4" borderId="19" xfId="0" applyFont="1" applyFill="1" applyBorder="1"/>
    <xf numFmtId="0" fontId="3" fillId="4" borderId="20" xfId="0" applyFont="1" applyFill="1" applyBorder="1"/>
    <xf numFmtId="0" fontId="4" fillId="3" borderId="23" xfId="0" applyFont="1" applyFill="1" applyBorder="1"/>
    <xf numFmtId="0" fontId="3" fillId="3" borderId="7" xfId="0" applyFont="1" applyFill="1" applyBorder="1"/>
    <xf numFmtId="0" fontId="3" fillId="3" borderId="8" xfId="0" applyFont="1" applyFill="1" applyBorder="1"/>
    <xf numFmtId="10" fontId="4" fillId="0" borderId="12" xfId="1" applyNumberFormat="1" applyFont="1" applyBorder="1"/>
    <xf numFmtId="0" fontId="4" fillId="0" borderId="14" xfId="0" applyFont="1" applyBorder="1"/>
    <xf numFmtId="0" fontId="3" fillId="4" borderId="0" xfId="0" applyFont="1" applyFill="1" applyBorder="1" applyAlignment="1"/>
    <xf numFmtId="0" fontId="3" fillId="4" borderId="11" xfId="0" applyFont="1" applyFill="1" applyBorder="1"/>
    <xf numFmtId="4" fontId="4" fillId="5" borderId="10" xfId="0" applyNumberFormat="1" applyFont="1" applyFill="1" applyBorder="1"/>
    <xf numFmtId="0" fontId="4" fillId="5" borderId="12" xfId="0" applyFont="1" applyFill="1" applyBorder="1"/>
    <xf numFmtId="2" fontId="3" fillId="5" borderId="1" xfId="0" applyNumberFormat="1" applyFont="1" applyFill="1" applyBorder="1" applyAlignment="1">
      <alignment horizontal="right"/>
    </xf>
    <xf numFmtId="4" fontId="3" fillId="0" borderId="10" xfId="0" applyNumberFormat="1" applyFont="1" applyFill="1" applyBorder="1"/>
    <xf numFmtId="10" fontId="3" fillId="0" borderId="14" xfId="1" applyNumberFormat="1" applyFont="1" applyFill="1" applyBorder="1"/>
    <xf numFmtId="4" fontId="3" fillId="5" borderId="26" xfId="0" applyNumberFormat="1" applyFont="1" applyFill="1" applyBorder="1"/>
    <xf numFmtId="2" fontId="3" fillId="5" borderId="26" xfId="0" applyNumberFormat="1" applyFont="1" applyFill="1" applyBorder="1" applyAlignment="1">
      <alignment horizontal="right"/>
    </xf>
    <xf numFmtId="4" fontId="3" fillId="4" borderId="0" xfId="0" applyNumberFormat="1" applyFont="1" applyFill="1" applyBorder="1"/>
    <xf numFmtId="0" fontId="3" fillId="4" borderId="0" xfId="0" applyFont="1" applyFill="1"/>
    <xf numFmtId="0" fontId="5" fillId="2" borderId="4" xfId="0" applyFont="1" applyFill="1" applyBorder="1"/>
    <xf numFmtId="0" fontId="5" fillId="2" borderId="27" xfId="0" applyFont="1" applyFill="1" applyBorder="1"/>
    <xf numFmtId="0" fontId="5" fillId="2" borderId="5" xfId="0" applyFont="1" applyFill="1" applyBorder="1"/>
    <xf numFmtId="0" fontId="5" fillId="2" borderId="2" xfId="0" applyFont="1" applyFill="1" applyBorder="1"/>
    <xf numFmtId="4" fontId="4" fillId="5" borderId="13" xfId="0" applyNumberFormat="1" applyFont="1" applyFill="1" applyBorder="1"/>
    <xf numFmtId="4" fontId="4" fillId="5" borderId="26" xfId="0" applyNumberFormat="1" applyFont="1" applyFill="1" applyBorder="1"/>
    <xf numFmtId="4" fontId="4" fillId="5" borderId="14" xfId="0" applyNumberFormat="1" applyFont="1" applyFill="1" applyBorder="1"/>
    <xf numFmtId="0" fontId="5" fillId="2" borderId="3" xfId="0" applyFont="1" applyFill="1" applyBorder="1"/>
    <xf numFmtId="4" fontId="4" fillId="5" borderId="3" xfId="0" applyNumberFormat="1" applyFont="1" applyFill="1" applyBorder="1"/>
    <xf numFmtId="0" fontId="5" fillId="4" borderId="0" xfId="0" applyFont="1" applyFill="1" applyBorder="1" applyAlignment="1">
      <alignment horizontal="left"/>
    </xf>
    <xf numFmtId="4" fontId="4" fillId="5" borderId="4" xfId="0" applyNumberFormat="1" applyFont="1" applyFill="1" applyBorder="1"/>
    <xf numFmtId="4" fontId="4" fillId="5" borderId="5" xfId="0" applyNumberFormat="1" applyFont="1" applyFill="1" applyBorder="1"/>
    <xf numFmtId="0" fontId="5" fillId="2" borderId="4" xfId="0" applyFont="1" applyFill="1" applyBorder="1" applyAlignment="1"/>
    <xf numFmtId="4" fontId="3" fillId="0" borderId="26" xfId="0" applyNumberFormat="1" applyFont="1" applyFill="1" applyBorder="1"/>
    <xf numFmtId="4" fontId="4" fillId="5" borderId="9" xfId="0" applyNumberFormat="1" applyFont="1" applyFill="1" applyBorder="1"/>
    <xf numFmtId="4" fontId="4" fillId="5" borderId="22" xfId="0" applyNumberFormat="1" applyFont="1" applyFill="1" applyBorder="1"/>
    <xf numFmtId="0" fontId="3" fillId="4" borderId="29" xfId="0" applyFont="1" applyFill="1" applyBorder="1"/>
    <xf numFmtId="0" fontId="3" fillId="4" borderId="30" xfId="0" applyFont="1" applyFill="1" applyBorder="1"/>
    <xf numFmtId="0" fontId="4" fillId="5" borderId="32" xfId="0" applyFont="1" applyFill="1" applyBorder="1"/>
    <xf numFmtId="0" fontId="4" fillId="3" borderId="3" xfId="0" applyFont="1" applyFill="1" applyBorder="1"/>
    <xf numFmtId="9" fontId="4" fillId="7" borderId="3" xfId="1" applyFont="1" applyFill="1" applyBorder="1"/>
    <xf numFmtId="0" fontId="5" fillId="2" borderId="3" xfId="0" applyFont="1" applyFill="1" applyBorder="1" applyAlignment="1"/>
    <xf numFmtId="4" fontId="3" fillId="0" borderId="14" xfId="0" applyNumberFormat="1" applyFont="1" applyFill="1" applyBorder="1"/>
    <xf numFmtId="4" fontId="3" fillId="4" borderId="19" xfId="0" applyNumberFormat="1" applyFont="1" applyFill="1" applyBorder="1"/>
    <xf numFmtId="0" fontId="7" fillId="3" borderId="2" xfId="0" applyFont="1" applyFill="1" applyBorder="1"/>
    <xf numFmtId="10" fontId="4" fillId="5" borderId="5" xfId="1" applyNumberFormat="1" applyFont="1" applyFill="1" applyBorder="1"/>
    <xf numFmtId="0" fontId="7" fillId="3" borderId="4" xfId="0" applyFont="1" applyFill="1" applyBorder="1" applyAlignment="1"/>
    <xf numFmtId="0" fontId="5" fillId="2" borderId="16" xfId="0" applyFont="1" applyFill="1" applyBorder="1"/>
    <xf numFmtId="4" fontId="4" fillId="0" borderId="17" xfId="0" applyNumberFormat="1" applyFont="1" applyBorder="1"/>
    <xf numFmtId="4" fontId="3" fillId="0" borderId="0" xfId="0" applyNumberFormat="1" applyFont="1" applyFill="1" applyBorder="1"/>
    <xf numFmtId="0" fontId="3" fillId="4" borderId="33" xfId="0" applyFont="1" applyFill="1" applyBorder="1"/>
    <xf numFmtId="4" fontId="7" fillId="5" borderId="2" xfId="0" applyNumberFormat="1" applyFont="1" applyFill="1" applyBorder="1"/>
    <xf numFmtId="10" fontId="4" fillId="5" borderId="3" xfId="1" applyNumberFormat="1" applyFont="1" applyFill="1" applyBorder="1"/>
    <xf numFmtId="0" fontId="7" fillId="3" borderId="3" xfId="0" applyFont="1" applyFill="1" applyBorder="1" applyAlignment="1"/>
    <xf numFmtId="4" fontId="3" fillId="5" borderId="1" xfId="0" applyNumberFormat="1" applyFont="1" applyFill="1" applyBorder="1" applyAlignment="1">
      <alignment horizontal="right"/>
    </xf>
    <xf numFmtId="4" fontId="3" fillId="5" borderId="12" xfId="0" applyNumberFormat="1" applyFont="1" applyFill="1" applyBorder="1" applyAlignment="1">
      <alignment horizontal="right"/>
    </xf>
    <xf numFmtId="4" fontId="3" fillId="5" borderId="26" xfId="0" applyNumberFormat="1" applyFont="1" applyFill="1" applyBorder="1" applyAlignment="1">
      <alignment horizontal="right"/>
    </xf>
    <xf numFmtId="4" fontId="3" fillId="5" borderId="14" xfId="0" applyNumberFormat="1" applyFont="1" applyFill="1" applyBorder="1" applyAlignment="1">
      <alignment horizontal="right"/>
    </xf>
    <xf numFmtId="0" fontId="3" fillId="5" borderId="1" xfId="0" applyFont="1" applyFill="1" applyBorder="1" applyAlignment="1">
      <alignment horizontal="right"/>
    </xf>
    <xf numFmtId="0" fontId="3" fillId="5" borderId="12" xfId="0" applyFont="1" applyFill="1" applyBorder="1" applyAlignment="1">
      <alignment horizontal="right"/>
    </xf>
    <xf numFmtId="2" fontId="3" fillId="5" borderId="12" xfId="0" applyNumberFormat="1" applyFont="1" applyFill="1" applyBorder="1" applyAlignment="1">
      <alignment horizontal="right"/>
    </xf>
    <xf numFmtId="2" fontId="3" fillId="5" borderId="14" xfId="0" applyNumberFormat="1" applyFont="1" applyFill="1" applyBorder="1" applyAlignment="1">
      <alignment horizontal="right"/>
    </xf>
    <xf numFmtId="4" fontId="4" fillId="5" borderId="4" xfId="0" applyNumberFormat="1" applyFont="1" applyFill="1" applyBorder="1" applyAlignment="1">
      <alignment horizontal="right"/>
    </xf>
    <xf numFmtId="4" fontId="4" fillId="5" borderId="3" xfId="0" applyNumberFormat="1" applyFont="1" applyFill="1" applyBorder="1" applyAlignment="1">
      <alignment horizontal="right"/>
    </xf>
    <xf numFmtId="4" fontId="3" fillId="4" borderId="0" xfId="0" applyNumberFormat="1" applyFont="1" applyFill="1" applyAlignment="1">
      <alignment horizontal="right"/>
    </xf>
    <xf numFmtId="4" fontId="3" fillId="4" borderId="0" xfId="0" applyNumberFormat="1" applyFont="1" applyFill="1" applyBorder="1" applyAlignment="1">
      <alignment horizontal="right"/>
    </xf>
    <xf numFmtId="4" fontId="4" fillId="5" borderId="9" xfId="0" applyNumberFormat="1" applyFont="1" applyFill="1" applyBorder="1" applyAlignment="1">
      <alignment horizontal="right"/>
    </xf>
    <xf numFmtId="4" fontId="4" fillId="5" borderId="22" xfId="0" applyNumberFormat="1" applyFont="1" applyFill="1" applyBorder="1" applyAlignment="1">
      <alignment horizontal="right"/>
    </xf>
    <xf numFmtId="4" fontId="4" fillId="5" borderId="10" xfId="0" applyNumberFormat="1" applyFont="1" applyFill="1" applyBorder="1" applyAlignment="1">
      <alignment horizontal="right"/>
    </xf>
    <xf numFmtId="4" fontId="4" fillId="5" borderId="13" xfId="0" applyNumberFormat="1" applyFont="1" applyFill="1" applyBorder="1" applyAlignment="1">
      <alignment horizontal="right"/>
    </xf>
    <xf numFmtId="4" fontId="4" fillId="5" borderId="26" xfId="0" applyNumberFormat="1" applyFont="1" applyFill="1" applyBorder="1" applyAlignment="1">
      <alignment horizontal="right"/>
    </xf>
    <xf numFmtId="4" fontId="4" fillId="5" borderId="14" xfId="0" applyNumberFormat="1" applyFont="1" applyFill="1" applyBorder="1" applyAlignment="1">
      <alignment horizontal="right"/>
    </xf>
    <xf numFmtId="4" fontId="3" fillId="0" borderId="1" xfId="0" applyNumberFormat="1" applyFont="1" applyFill="1" applyBorder="1" applyAlignment="1">
      <alignment horizontal="right"/>
    </xf>
    <xf numFmtId="4" fontId="4" fillId="6" borderId="26" xfId="0" applyNumberFormat="1" applyFont="1" applyFill="1" applyBorder="1" applyAlignment="1">
      <alignment horizontal="right"/>
    </xf>
    <xf numFmtId="10" fontId="4" fillId="5" borderId="14" xfId="1" applyNumberFormat="1" applyFont="1" applyFill="1" applyBorder="1"/>
    <xf numFmtId="164" fontId="4" fillId="0" borderId="14" xfId="1" applyNumberFormat="1" applyFont="1" applyBorder="1"/>
    <xf numFmtId="0" fontId="4" fillId="3" borderId="8" xfId="0" applyFont="1" applyFill="1" applyBorder="1" applyAlignment="1"/>
    <xf numFmtId="4" fontId="4" fillId="5" borderId="2" xfId="0" applyNumberFormat="1" applyFont="1" applyFill="1" applyBorder="1"/>
    <xf numFmtId="0" fontId="3" fillId="4" borderId="0" xfId="0" applyFont="1" applyFill="1" applyBorder="1" applyAlignment="1">
      <alignment horizontal="right"/>
    </xf>
    <xf numFmtId="4" fontId="3" fillId="5" borderId="14" xfId="0" applyNumberFormat="1" applyFont="1" applyFill="1" applyBorder="1"/>
    <xf numFmtId="165" fontId="3" fillId="4" borderId="0" xfId="0" applyNumberFormat="1" applyFont="1" applyFill="1" applyBorder="1"/>
    <xf numFmtId="10" fontId="4" fillId="5" borderId="31" xfId="1" applyNumberFormat="1" applyFont="1" applyFill="1" applyBorder="1" applyAlignment="1">
      <alignment horizontal="right"/>
    </xf>
    <xf numFmtId="10" fontId="4" fillId="5" borderId="5" xfId="1" applyNumberFormat="1" applyFont="1" applyFill="1" applyBorder="1" applyAlignment="1">
      <alignment horizontal="right"/>
    </xf>
    <xf numFmtId="4" fontId="3" fillId="6" borderId="27" xfId="0" applyNumberFormat="1" applyFont="1" applyFill="1" applyBorder="1"/>
    <xf numFmtId="4" fontId="3" fillId="0" borderId="17" xfId="0" applyNumberFormat="1" applyFont="1" applyFill="1" applyBorder="1"/>
    <xf numFmtId="4" fontId="3" fillId="6" borderId="5" xfId="0" applyNumberFormat="1" applyFont="1" applyFill="1" applyBorder="1"/>
    <xf numFmtId="4" fontId="4" fillId="6" borderId="39" xfId="0" applyNumberFormat="1" applyFont="1" applyFill="1" applyBorder="1" applyAlignment="1">
      <alignment horizontal="right"/>
    </xf>
    <xf numFmtId="4" fontId="4" fillId="6" borderId="1" xfId="0" applyNumberFormat="1" applyFont="1" applyFill="1" applyBorder="1" applyAlignment="1">
      <alignment horizontal="right"/>
    </xf>
    <xf numFmtId="0" fontId="0" fillId="3" borderId="24" xfId="0" applyFill="1" applyBorder="1" applyAlignment="1"/>
    <xf numFmtId="0" fontId="0" fillId="3" borderId="10" xfId="0" applyFill="1" applyBorder="1" applyAlignment="1"/>
    <xf numFmtId="0" fontId="6" fillId="3" borderId="15" xfId="0" applyFont="1" applyFill="1" applyBorder="1" applyAlignment="1">
      <alignment horizontal="center" vertical="center"/>
    </xf>
    <xf numFmtId="0" fontId="6" fillId="3" borderId="7" xfId="0" applyFont="1" applyFill="1" applyBorder="1" applyAlignment="1">
      <alignment horizontal="center" vertical="center"/>
    </xf>
    <xf numFmtId="0" fontId="6" fillId="3" borderId="16" xfId="0" applyFont="1" applyFill="1" applyBorder="1" applyAlignment="1">
      <alignment horizontal="center" vertical="center"/>
    </xf>
    <xf numFmtId="0" fontId="6" fillId="3" borderId="0" xfId="0" applyFont="1" applyFill="1" applyBorder="1" applyAlignment="1">
      <alignment horizontal="center" vertical="center"/>
    </xf>
    <xf numFmtId="0" fontId="6" fillId="3" borderId="18" xfId="0" applyFont="1" applyFill="1" applyBorder="1" applyAlignment="1">
      <alignment horizontal="center" vertical="center"/>
    </xf>
    <xf numFmtId="0" fontId="6" fillId="3" borderId="19" xfId="0" applyFont="1" applyFill="1" applyBorder="1" applyAlignment="1">
      <alignment horizontal="center" vertical="center"/>
    </xf>
    <xf numFmtId="0" fontId="4" fillId="6" borderId="11" xfId="0" applyFont="1" applyFill="1" applyBorder="1" applyAlignment="1">
      <alignment horizontal="left"/>
    </xf>
    <xf numFmtId="0" fontId="4" fillId="6" borderId="1" xfId="0" applyFont="1" applyFill="1" applyBorder="1" applyAlignment="1">
      <alignment horizontal="left"/>
    </xf>
    <xf numFmtId="0" fontId="4" fillId="6" borderId="12" xfId="0" applyFont="1" applyFill="1" applyBorder="1" applyAlignment="1">
      <alignment horizontal="left"/>
    </xf>
    <xf numFmtId="0" fontId="4" fillId="7" borderId="9" xfId="0" applyFont="1" applyFill="1" applyBorder="1" applyAlignment="1">
      <alignment horizontal="left"/>
    </xf>
    <xf numFmtId="0" fontId="4" fillId="7" borderId="22" xfId="0" applyFont="1" applyFill="1" applyBorder="1" applyAlignment="1">
      <alignment horizontal="left"/>
    </xf>
    <xf numFmtId="0" fontId="4" fillId="7" borderId="10" xfId="0" applyFont="1" applyFill="1" applyBorder="1" applyAlignment="1">
      <alignment horizontal="left"/>
    </xf>
    <xf numFmtId="0" fontId="4" fillId="5" borderId="13" xfId="0" applyFont="1" applyFill="1" applyBorder="1" applyAlignment="1">
      <alignment horizontal="left"/>
    </xf>
    <xf numFmtId="0" fontId="4" fillId="5" borderId="26" xfId="0" applyFont="1" applyFill="1" applyBorder="1" applyAlignment="1">
      <alignment horizontal="left"/>
    </xf>
    <xf numFmtId="0" fontId="4" fillId="5" borderId="14" xfId="0" applyFont="1" applyFill="1" applyBorder="1" applyAlignment="1">
      <alignment horizontal="left"/>
    </xf>
    <xf numFmtId="0" fontId="5" fillId="2" borderId="29" xfId="0" applyFont="1" applyFill="1" applyBorder="1" applyAlignment="1">
      <alignment horizontal="left"/>
    </xf>
    <xf numFmtId="0" fontId="5" fillId="2" borderId="6" xfId="0" applyFont="1" applyFill="1" applyBorder="1" applyAlignment="1">
      <alignment horizontal="left"/>
    </xf>
    <xf numFmtId="0" fontId="5" fillId="2" borderId="8" xfId="0" applyFont="1" applyFill="1" applyBorder="1" applyAlignment="1">
      <alignment horizontal="center" vertical="center"/>
    </xf>
    <xf numFmtId="0" fontId="5" fillId="2" borderId="17" xfId="0" applyFont="1" applyFill="1" applyBorder="1" applyAlignment="1">
      <alignment horizontal="center" vertical="center"/>
    </xf>
    <xf numFmtId="0" fontId="5" fillId="2" borderId="20" xfId="0" applyFont="1" applyFill="1" applyBorder="1" applyAlignment="1">
      <alignment horizontal="center" vertical="center"/>
    </xf>
    <xf numFmtId="0" fontId="5" fillId="2" borderId="11" xfId="0" applyFont="1" applyFill="1" applyBorder="1" applyAlignment="1">
      <alignment horizontal="left"/>
    </xf>
    <xf numFmtId="0" fontId="5" fillId="2" borderId="1" xfId="0" applyFont="1" applyFill="1" applyBorder="1" applyAlignment="1">
      <alignment horizontal="left"/>
    </xf>
    <xf numFmtId="0" fontId="5" fillId="2" borderId="2" xfId="0" applyFont="1" applyFill="1" applyBorder="1" applyAlignment="1">
      <alignment horizontal="left"/>
    </xf>
    <xf numFmtId="0" fontId="5" fillId="2" borderId="35" xfId="0" applyFont="1" applyFill="1" applyBorder="1" applyAlignment="1">
      <alignment horizontal="left"/>
    </xf>
    <xf numFmtId="0" fontId="5" fillId="2" borderId="37" xfId="0" applyFont="1" applyFill="1" applyBorder="1" applyAlignment="1">
      <alignment horizontal="left"/>
    </xf>
    <xf numFmtId="0" fontId="0" fillId="0" borderId="38" xfId="0" applyBorder="1" applyAlignment="1">
      <alignment horizontal="left"/>
    </xf>
    <xf numFmtId="0" fontId="5" fillId="2" borderId="36" xfId="0" applyFont="1" applyFill="1" applyBorder="1" applyAlignment="1">
      <alignment horizontal="left"/>
    </xf>
    <xf numFmtId="0" fontId="5" fillId="2" borderId="34" xfId="0" applyFont="1" applyFill="1" applyBorder="1" applyAlignment="1">
      <alignment horizontal="left"/>
    </xf>
    <xf numFmtId="0" fontId="5" fillId="2" borderId="13" xfId="0" applyFont="1" applyFill="1" applyBorder="1" applyAlignment="1">
      <alignment horizontal="left"/>
    </xf>
    <xf numFmtId="0" fontId="5" fillId="2" borderId="26" xfId="0" applyFont="1" applyFill="1" applyBorder="1" applyAlignment="1">
      <alignment horizontal="left"/>
    </xf>
    <xf numFmtId="0" fontId="4" fillId="3" borderId="23" xfId="0" applyFont="1" applyFill="1" applyBorder="1" applyAlignment="1">
      <alignment horizontal="center"/>
    </xf>
    <xf numFmtId="0" fontId="4" fillId="3" borderId="24" xfId="0" applyFont="1" applyFill="1" applyBorder="1" applyAlignment="1">
      <alignment horizontal="center"/>
    </xf>
    <xf numFmtId="0" fontId="4" fillId="3" borderId="25" xfId="0" applyFont="1" applyFill="1" applyBorder="1" applyAlignment="1">
      <alignment horizontal="center"/>
    </xf>
    <xf numFmtId="0" fontId="5" fillId="2" borderId="28" xfId="0" applyFont="1" applyFill="1" applyBorder="1" applyAlignment="1">
      <alignment horizontal="left"/>
    </xf>
    <xf numFmtId="0" fontId="4" fillId="3" borderId="9" xfId="0" applyFont="1" applyFill="1" applyBorder="1" applyAlignment="1">
      <alignment horizontal="center"/>
    </xf>
    <xf numFmtId="0" fontId="4" fillId="3" borderId="10" xfId="0" applyFont="1" applyFill="1" applyBorder="1" applyAlignment="1">
      <alignment horizontal="center"/>
    </xf>
    <xf numFmtId="0" fontId="5" fillId="2" borderId="9" xfId="0" applyFont="1" applyFill="1" applyBorder="1" applyAlignment="1">
      <alignment horizontal="left"/>
    </xf>
    <xf numFmtId="0" fontId="5" fillId="2" borderId="22" xfId="0" applyFont="1" applyFill="1" applyBorder="1" applyAlignment="1">
      <alignment horizontal="left"/>
    </xf>
    <xf numFmtId="0" fontId="4" fillId="3" borderId="15" xfId="0" applyFont="1" applyFill="1" applyBorder="1" applyAlignment="1">
      <alignment horizontal="center"/>
    </xf>
    <xf numFmtId="0" fontId="4" fillId="3" borderId="7" xfId="0" applyFont="1" applyFill="1" applyBorder="1" applyAlignment="1">
      <alignment horizontal="center"/>
    </xf>
    <xf numFmtId="0" fontId="4" fillId="3" borderId="8" xfId="0" applyFont="1" applyFill="1" applyBorder="1" applyAlignment="1">
      <alignment horizontal="center"/>
    </xf>
    <xf numFmtId="0" fontId="5" fillId="2" borderId="4" xfId="0" applyFont="1" applyFill="1" applyBorder="1" applyAlignment="1">
      <alignment horizontal="left"/>
    </xf>
    <xf numFmtId="0" fontId="5" fillId="2" borderId="21" xfId="0" applyFont="1" applyFill="1" applyBorder="1" applyAlignment="1">
      <alignment horizontal="left"/>
    </xf>
    <xf numFmtId="0" fontId="7" fillId="3" borderId="4" xfId="0" applyFont="1" applyFill="1" applyBorder="1" applyAlignment="1">
      <alignment horizontal="left"/>
    </xf>
    <xf numFmtId="0" fontId="7" fillId="3" borderId="21" xfId="0" applyFont="1" applyFill="1" applyBorder="1" applyAlignment="1">
      <alignment horizontal="left"/>
    </xf>
    <xf numFmtId="0" fontId="2" fillId="2" borderId="15" xfId="0" applyFont="1" applyFill="1" applyBorder="1" applyAlignment="1">
      <alignment horizontal="center"/>
    </xf>
    <xf numFmtId="0" fontId="2" fillId="2" borderId="7" xfId="0" applyFont="1" applyFill="1" applyBorder="1" applyAlignment="1">
      <alignment horizontal="center"/>
    </xf>
    <xf numFmtId="0" fontId="2" fillId="2" borderId="8" xfId="0" applyFont="1" applyFill="1" applyBorder="1" applyAlignment="1">
      <alignment horizontal="center"/>
    </xf>
    <xf numFmtId="0" fontId="2" fillId="2" borderId="18" xfId="0" applyFont="1" applyFill="1" applyBorder="1" applyAlignment="1">
      <alignment horizontal="center"/>
    </xf>
    <xf numFmtId="0" fontId="2" fillId="2" borderId="19" xfId="0" applyFont="1" applyFill="1" applyBorder="1" applyAlignment="1">
      <alignment horizontal="center"/>
    </xf>
    <xf numFmtId="0" fontId="2" fillId="2" borderId="20" xfId="0" applyFont="1" applyFill="1" applyBorder="1" applyAlignment="1">
      <alignment horizontal="center"/>
    </xf>
  </cellXfs>
  <cellStyles count="2">
    <cellStyle name="Normal" xfId="0" builtinId="0"/>
    <cellStyle name="Porcentual" xfId="1" builtinId="5"/>
  </cellStyles>
  <dxfs count="45"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BCFF9B"/>
      </font>
    </dxf>
    <dxf>
      <font>
        <color theme="0"/>
      </font>
    </dxf>
    <dxf>
      <font>
        <color rgb="FFBCFF9B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</dxfs>
  <tableStyles count="0" defaultTableStyle="TableStyleMedium9" defaultPivotStyle="PivotStyleLight16"/>
  <colors>
    <mruColors>
      <color rgb="FFFFFF66"/>
      <color rgb="FFBCFF9B"/>
      <color rgb="FF99FF66"/>
      <color rgb="FF99FF33"/>
      <color rgb="FF00FF00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chart>
    <c:title>
      <c:layout/>
    </c:title>
    <c:plotArea>
      <c:layout>
        <c:manualLayout>
          <c:layoutTarget val="inner"/>
          <c:xMode val="edge"/>
          <c:yMode val="edge"/>
          <c:x val="0.17043285214348222"/>
          <c:y val="0.19480351414406533"/>
          <c:w val="0.65706846019247644"/>
          <c:h val="0.61278142315543971"/>
        </c:manualLayout>
      </c:layout>
      <c:barChart>
        <c:barDir val="col"/>
        <c:grouping val="clustered"/>
        <c:ser>
          <c:idx val="0"/>
          <c:order val="0"/>
          <c:tx>
            <c:strRef>
              <c:f>'Análisis proyecto'!$B$7</c:f>
              <c:strCache>
                <c:ptCount val="1"/>
                <c:pt idx="0">
                  <c:v>Evolución liquidez</c:v>
                </c:pt>
              </c:strCache>
            </c:strRef>
          </c:tx>
          <c:spPr>
            <a:solidFill>
              <a:srgbClr val="7030A0"/>
            </a:solidFill>
          </c:spPr>
          <c:cat>
            <c:strRef>
              <c:f>'Análisis proyecto'!$C$2:$W$2</c:f>
              <c:strCache>
                <c:ptCount val="21"/>
                <c:pt idx="0">
                  <c:v>Inicial</c:v>
                </c:pt>
                <c:pt idx="1">
                  <c:v>Año 1</c:v>
                </c:pt>
                <c:pt idx="2">
                  <c:v>Año 2</c:v>
                </c:pt>
                <c:pt idx="3">
                  <c:v>Año 3</c:v>
                </c:pt>
                <c:pt idx="4">
                  <c:v>Año 4</c:v>
                </c:pt>
                <c:pt idx="5">
                  <c:v>Año 5</c:v>
                </c:pt>
                <c:pt idx="6">
                  <c:v>Año 6</c:v>
                </c:pt>
                <c:pt idx="7">
                  <c:v>Año 7</c:v>
                </c:pt>
                <c:pt idx="8">
                  <c:v>Año 8</c:v>
                </c:pt>
                <c:pt idx="9">
                  <c:v>Año 9</c:v>
                </c:pt>
                <c:pt idx="10">
                  <c:v>Año 10</c:v>
                </c:pt>
                <c:pt idx="11">
                  <c:v>Año 11</c:v>
                </c:pt>
                <c:pt idx="12">
                  <c:v>Año 12</c:v>
                </c:pt>
                <c:pt idx="13">
                  <c:v>Año 13</c:v>
                </c:pt>
                <c:pt idx="14">
                  <c:v>Año 14</c:v>
                </c:pt>
                <c:pt idx="15">
                  <c:v>Año 15</c:v>
                </c:pt>
                <c:pt idx="16">
                  <c:v>Año 16</c:v>
                </c:pt>
                <c:pt idx="17">
                  <c:v>Año 17</c:v>
                </c:pt>
                <c:pt idx="18">
                  <c:v>Año 18</c:v>
                </c:pt>
                <c:pt idx="19">
                  <c:v>Año 19</c:v>
                </c:pt>
                <c:pt idx="20">
                  <c:v>Año 20</c:v>
                </c:pt>
              </c:strCache>
            </c:strRef>
          </c:cat>
          <c:val>
            <c:numRef>
              <c:f>'Análisis proyecto'!$C$7:$W$7</c:f>
              <c:numCache>
                <c:formatCode>#,##0.00</c:formatCode>
                <c:ptCount val="21"/>
                <c:pt idx="0">
                  <c:v>0</c:v>
                </c:pt>
                <c:pt idx="1">
                  <c:v>3051.861802234369</c:v>
                </c:pt>
                <c:pt idx="2">
                  <c:v>2313.7236044687379</c:v>
                </c:pt>
                <c:pt idx="3">
                  <c:v>4796.0854067031069</c:v>
                </c:pt>
                <c:pt idx="4">
                  <c:v>58.846653406482801</c:v>
                </c:pt>
                <c:pt idx="5">
                  <c:v>3559.5829001098591</c:v>
                </c:pt>
                <c:pt idx="6">
                  <c:v>2340.3191468132354</c:v>
                </c:pt>
                <c:pt idx="7">
                  <c:v>1415.0553935166117</c:v>
                </c:pt>
                <c:pt idx="8">
                  <c:v>798.49164021998786</c:v>
                </c:pt>
                <c:pt idx="9">
                  <c:v>2457.1884424543568</c:v>
                </c:pt>
                <c:pt idx="10">
                  <c:v>1309.0502446887258</c:v>
                </c:pt>
                <c:pt idx="11">
                  <c:v>160.91204692309475</c:v>
                </c:pt>
                <c:pt idx="12">
                  <c:v>12.773849157463701</c:v>
                </c:pt>
                <c:pt idx="13">
                  <c:v>364.63565139183265</c:v>
                </c:pt>
                <c:pt idx="14">
                  <c:v>1216.4974536262016</c:v>
                </c:pt>
                <c:pt idx="15">
                  <c:v>2068.3592558605706</c:v>
                </c:pt>
                <c:pt idx="16">
                  <c:v>8068.3592558605706</c:v>
                </c:pt>
                <c:pt idx="17">
                  <c:v>14068.359255860571</c:v>
                </c:pt>
                <c:pt idx="18">
                  <c:v>20068.359255860571</c:v>
                </c:pt>
                <c:pt idx="19">
                  <c:v>26068.359255860567</c:v>
                </c:pt>
                <c:pt idx="20">
                  <c:v>32068.359255860567</c:v>
                </c:pt>
              </c:numCache>
            </c:numRef>
          </c:val>
        </c:ser>
        <c:axId val="75796864"/>
        <c:axId val="75798400"/>
      </c:barChart>
      <c:catAx>
        <c:axId val="75796864"/>
        <c:scaling>
          <c:orientation val="minMax"/>
        </c:scaling>
        <c:axPos val="b"/>
        <c:tickLblPos val="nextTo"/>
        <c:txPr>
          <a:bodyPr rot="-5400000" vert="horz"/>
          <a:lstStyle/>
          <a:p>
            <a:pPr>
              <a:defRPr/>
            </a:pPr>
            <a:endParaRPr lang="es-ES"/>
          </a:p>
        </c:txPr>
        <c:crossAx val="75798400"/>
        <c:crosses val="autoZero"/>
        <c:auto val="1"/>
        <c:lblAlgn val="ctr"/>
        <c:lblOffset val="100"/>
      </c:catAx>
      <c:valAx>
        <c:axId val="75798400"/>
        <c:scaling>
          <c:orientation val="minMax"/>
        </c:scaling>
        <c:axPos val="l"/>
        <c:majorGridlines/>
        <c:numFmt formatCode="#,##0.00" sourceLinked="1"/>
        <c:tickLblPos val="nextTo"/>
        <c:crossAx val="7579686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1639020122484685"/>
          <c:y val="0.49280584718576886"/>
          <c:w val="0.18083202099737541"/>
          <c:h val="0.14853200641586484"/>
        </c:manualLayout>
      </c:layout>
    </c:legend>
    <c:plotVisOnly val="1"/>
  </c:chart>
  <c:spPr>
    <a:solidFill>
      <a:schemeClr val="accent6">
        <a:lumMod val="60000"/>
        <a:lumOff val="40000"/>
      </a:schemeClr>
    </a:solidFill>
    <a:ln w="25400"/>
    <a:scene3d>
      <a:camera prst="orthographicFront"/>
      <a:lightRig rig="threePt" dir="t"/>
    </a:scene3d>
    <a:sp3d>
      <a:bevelT/>
      <a:bevelB/>
    </a:sp3d>
  </c:spPr>
  <c:printSettings>
    <c:headerFooter/>
    <c:pageMargins b="0.75000000000000289" l="0.70000000000000062" r="0.70000000000000062" t="0.75000000000000289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chart>
    <c:title>
      <c:layout/>
    </c:title>
    <c:plotArea>
      <c:layout/>
      <c:barChart>
        <c:barDir val="col"/>
        <c:grouping val="clustered"/>
        <c:ser>
          <c:idx val="1"/>
          <c:order val="0"/>
          <c:tx>
            <c:strRef>
              <c:f>'Análisis proyecto'!$B$31:$C$31</c:f>
              <c:strCache>
                <c:ptCount val="1"/>
                <c:pt idx="0">
                  <c:v>EVA</c:v>
                </c:pt>
              </c:strCache>
            </c:strRef>
          </c:tx>
          <c:cat>
            <c:strRef>
              <c:f>'Análisis proyecto'!$D$29:$W$29</c:f>
              <c:strCache>
                <c:ptCount val="20"/>
                <c:pt idx="0">
                  <c:v>Año 1</c:v>
                </c:pt>
                <c:pt idx="1">
                  <c:v>Año 2</c:v>
                </c:pt>
                <c:pt idx="2">
                  <c:v>Año 3</c:v>
                </c:pt>
                <c:pt idx="3">
                  <c:v>Año 4</c:v>
                </c:pt>
                <c:pt idx="4">
                  <c:v>Año 5</c:v>
                </c:pt>
                <c:pt idx="5">
                  <c:v>Año 6</c:v>
                </c:pt>
                <c:pt idx="6">
                  <c:v>Año 7</c:v>
                </c:pt>
                <c:pt idx="7">
                  <c:v>Año 8</c:v>
                </c:pt>
                <c:pt idx="8">
                  <c:v>Año 9</c:v>
                </c:pt>
                <c:pt idx="9">
                  <c:v>Año 10</c:v>
                </c:pt>
                <c:pt idx="10">
                  <c:v>Año 11</c:v>
                </c:pt>
                <c:pt idx="11">
                  <c:v>Año 12</c:v>
                </c:pt>
                <c:pt idx="12">
                  <c:v>Año 13</c:v>
                </c:pt>
                <c:pt idx="13">
                  <c:v>Año 14</c:v>
                </c:pt>
                <c:pt idx="14">
                  <c:v>Año 15</c:v>
                </c:pt>
                <c:pt idx="15">
                  <c:v>Año 16</c:v>
                </c:pt>
                <c:pt idx="16">
                  <c:v>Año 17</c:v>
                </c:pt>
                <c:pt idx="17">
                  <c:v>Año 18</c:v>
                </c:pt>
                <c:pt idx="18">
                  <c:v>Año 19</c:v>
                </c:pt>
                <c:pt idx="19">
                  <c:v>Año 20</c:v>
                </c:pt>
              </c:strCache>
            </c:strRef>
          </c:cat>
          <c:val>
            <c:numRef>
              <c:f>'Análisis proyecto'!$D$31:$W$31</c:f>
              <c:numCache>
                <c:formatCode>#,##0.00</c:formatCode>
                <c:ptCount val="20"/>
                <c:pt idx="0">
                  <c:v>1700</c:v>
                </c:pt>
                <c:pt idx="1">
                  <c:v>2000.2218043061566</c:v>
                </c:pt>
                <c:pt idx="2">
                  <c:v>2316.3569168706827</c:v>
                </c:pt>
                <c:pt idx="3">
                  <c:v>2257.2551361890796</c:v>
                </c:pt>
                <c:pt idx="4">
                  <c:v>3170.8509008875999</c:v>
                </c:pt>
                <c:pt idx="5">
                  <c:v>3637.6905629902412</c:v>
                </c:pt>
                <c:pt idx="6">
                  <c:v>4130.4699719478058</c:v>
                </c:pt>
                <c:pt idx="7">
                  <c:v>4650.6565682706041</c:v>
                </c:pt>
                <c:pt idx="8">
                  <c:v>5199.8024127984918</c:v>
                </c:pt>
                <c:pt idx="9">
                  <c:v>6236.7672618725564</c:v>
                </c:pt>
                <c:pt idx="10">
                  <c:v>6774.1951018910668</c:v>
                </c:pt>
                <c:pt idx="11">
                  <c:v>7340.0186123106869</c:v>
                </c:pt>
                <c:pt idx="12">
                  <c:v>7935.7490333554842</c:v>
                </c:pt>
                <c:pt idx="13">
                  <c:v>8562.9786546629693</c:v>
                </c:pt>
                <c:pt idx="14">
                  <c:v>9223.3851969989046</c:v>
                </c:pt>
                <c:pt idx="15">
                  <c:v>9918.7364328125004</c:v>
                </c:pt>
                <c:pt idx="16">
                  <c:v>10434.673254453126</c:v>
                </c:pt>
                <c:pt idx="17">
                  <c:v>10976.406917175784</c:v>
                </c:pt>
                <c:pt idx="18">
                  <c:v>11545.227263034574</c:v>
                </c:pt>
                <c:pt idx="19">
                  <c:v>12142.488626186303</c:v>
                </c:pt>
              </c:numCache>
            </c:numRef>
          </c:val>
        </c:ser>
        <c:axId val="75171328"/>
        <c:axId val="75172864"/>
      </c:barChart>
      <c:catAx>
        <c:axId val="75171328"/>
        <c:scaling>
          <c:orientation val="minMax"/>
        </c:scaling>
        <c:axPos val="b"/>
        <c:tickLblPos val="nextTo"/>
        <c:txPr>
          <a:bodyPr rot="-5400000" vert="horz"/>
          <a:lstStyle/>
          <a:p>
            <a:pPr>
              <a:defRPr/>
            </a:pPr>
            <a:endParaRPr lang="es-ES"/>
          </a:p>
        </c:txPr>
        <c:crossAx val="75172864"/>
        <c:crosses val="autoZero"/>
        <c:auto val="1"/>
        <c:lblAlgn val="ctr"/>
        <c:lblOffset val="100"/>
      </c:catAx>
      <c:valAx>
        <c:axId val="75172864"/>
        <c:scaling>
          <c:orientation val="minMax"/>
        </c:scaling>
        <c:axPos val="l"/>
        <c:majorGridlines/>
        <c:numFmt formatCode="#,##0.00" sourceLinked="1"/>
        <c:tickLblPos val="nextTo"/>
        <c:crossAx val="75171328"/>
        <c:crosses val="autoZero"/>
        <c:crossBetween val="between"/>
      </c:valAx>
    </c:plotArea>
    <c:legend>
      <c:legendPos val="r"/>
      <c:layout/>
    </c:legend>
    <c:plotVisOnly val="1"/>
  </c:chart>
  <c:spPr>
    <a:solidFill>
      <a:srgbClr val="F79646">
        <a:lumMod val="60000"/>
        <a:lumOff val="40000"/>
      </a:srgbClr>
    </a:solidFill>
    <a:ln w="25400"/>
    <a:scene3d>
      <a:camera prst="orthographicFront"/>
      <a:lightRig rig="threePt" dir="t"/>
    </a:scene3d>
    <a:sp3d>
      <a:bevelT/>
      <a:bevelB/>
    </a:sp3d>
  </c:spPr>
  <c:printSettings>
    <c:headerFooter/>
    <c:pageMargins b="0.75000000000000289" l="0.70000000000000062" r="0.70000000000000062" t="0.75000000000000289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chart>
    <c:title>
      <c:tx>
        <c:rich>
          <a:bodyPr/>
          <a:lstStyle/>
          <a:p>
            <a:pPr>
              <a:defRPr/>
            </a:pPr>
            <a:r>
              <a:rPr lang="en-US"/>
              <a:t>Payback proyecto</a:t>
            </a:r>
          </a:p>
        </c:rich>
      </c:tx>
      <c:layout/>
    </c:title>
    <c:plotArea>
      <c:layout/>
      <c:barChart>
        <c:barDir val="col"/>
        <c:grouping val="clustered"/>
        <c:ser>
          <c:idx val="0"/>
          <c:order val="0"/>
          <c:tx>
            <c:strRef>
              <c:f>'Análisis proyecto'!$B$41</c:f>
              <c:strCache>
                <c:ptCount val="1"/>
                <c:pt idx="0">
                  <c:v>Payback proyecto</c:v>
                </c:pt>
              </c:strCache>
            </c:strRef>
          </c:tx>
          <c:cat>
            <c:strRef>
              <c:f>'Análisis proyecto'!$C$39:$W$40</c:f>
              <c:strCache>
                <c:ptCount val="21"/>
                <c:pt idx="0">
                  <c:v>Año 0</c:v>
                </c:pt>
                <c:pt idx="1">
                  <c:v>Año 1</c:v>
                </c:pt>
                <c:pt idx="2">
                  <c:v>Año 2</c:v>
                </c:pt>
                <c:pt idx="3">
                  <c:v>Año 3</c:v>
                </c:pt>
                <c:pt idx="4">
                  <c:v>Año 4</c:v>
                </c:pt>
                <c:pt idx="5">
                  <c:v>Año 5</c:v>
                </c:pt>
                <c:pt idx="6">
                  <c:v>Año 6</c:v>
                </c:pt>
                <c:pt idx="7">
                  <c:v>Año 7</c:v>
                </c:pt>
                <c:pt idx="8">
                  <c:v>Año 8</c:v>
                </c:pt>
                <c:pt idx="9">
                  <c:v>Año 9</c:v>
                </c:pt>
                <c:pt idx="10">
                  <c:v>Año 10</c:v>
                </c:pt>
                <c:pt idx="11">
                  <c:v>Año 11</c:v>
                </c:pt>
                <c:pt idx="12">
                  <c:v>Año 12</c:v>
                </c:pt>
                <c:pt idx="13">
                  <c:v>Año 13</c:v>
                </c:pt>
                <c:pt idx="14">
                  <c:v>Año 14</c:v>
                </c:pt>
                <c:pt idx="15">
                  <c:v>Año 15</c:v>
                </c:pt>
                <c:pt idx="16">
                  <c:v>Año 16</c:v>
                </c:pt>
                <c:pt idx="17">
                  <c:v>Año 17</c:v>
                </c:pt>
                <c:pt idx="18">
                  <c:v>Año 18</c:v>
                </c:pt>
                <c:pt idx="19">
                  <c:v>Año 19</c:v>
                </c:pt>
                <c:pt idx="20">
                  <c:v>Año 20</c:v>
                </c:pt>
              </c:strCache>
            </c:strRef>
          </c:cat>
          <c:val>
            <c:numRef>
              <c:f>'Análisis proyecto'!$C$41:$W$41</c:f>
              <c:numCache>
                <c:formatCode>#,##0.00</c:formatCode>
                <c:ptCount val="21"/>
                <c:pt idx="0">
                  <c:v>-55000</c:v>
                </c:pt>
                <c:pt idx="1">
                  <c:v>-63800</c:v>
                </c:pt>
                <c:pt idx="2">
                  <c:v>-72261.111708134064</c:v>
                </c:pt>
                <c:pt idx="3">
                  <c:v>-80365.101826890226</c:v>
                </c:pt>
                <c:pt idx="4">
                  <c:v>-83652.748060905826</c:v>
                </c:pt>
                <c:pt idx="5">
                  <c:v>-80951.532488209254</c:v>
                </c:pt>
                <c:pt idx="6">
                  <c:v>-77703.40311250891</c:v>
                </c:pt>
                <c:pt idx="7">
                  <c:v>-73877.303152583467</c:v>
                </c:pt>
                <c:pt idx="8">
                  <c:v>-69440.379483625467</c:v>
                </c:pt>
                <c:pt idx="9">
                  <c:v>-64357.876751056196</c:v>
                </c:pt>
                <c:pt idx="10">
                  <c:v>-58176.780662666832</c:v>
                </c:pt>
                <c:pt idx="11">
                  <c:v>-51392.930517108165</c:v>
                </c:pt>
                <c:pt idx="12">
                  <c:v>-43974.011070950044</c:v>
                </c:pt>
                <c:pt idx="13">
                  <c:v>-35885.960666156498</c:v>
                </c:pt>
                <c:pt idx="14">
                  <c:v>-27092.876070209397</c:v>
                </c:pt>
                <c:pt idx="15">
                  <c:v>-17556.912087889534</c:v>
                </c:pt>
                <c:pt idx="16">
                  <c:v>-7238.1756550770333</c:v>
                </c:pt>
                <c:pt idx="17">
                  <c:v>3596.4975993760927</c:v>
                </c:pt>
                <c:pt idx="18">
                  <c:v>14972.904516551876</c:v>
                </c:pt>
                <c:pt idx="19">
                  <c:v>26918.131779586452</c:v>
                </c:pt>
                <c:pt idx="20">
                  <c:v>39460.620405772752</c:v>
                </c:pt>
              </c:numCache>
            </c:numRef>
          </c:val>
        </c:ser>
        <c:axId val="75193344"/>
        <c:axId val="75207424"/>
      </c:barChart>
      <c:catAx>
        <c:axId val="75193344"/>
        <c:scaling>
          <c:orientation val="minMax"/>
        </c:scaling>
        <c:axPos val="b"/>
        <c:tickLblPos val="low"/>
        <c:txPr>
          <a:bodyPr rot="-5400000" vert="horz"/>
          <a:lstStyle/>
          <a:p>
            <a:pPr>
              <a:defRPr/>
            </a:pPr>
            <a:endParaRPr lang="es-ES"/>
          </a:p>
        </c:txPr>
        <c:crossAx val="75207424"/>
        <c:crosses val="autoZero"/>
        <c:auto val="1"/>
        <c:lblAlgn val="ctr"/>
        <c:lblOffset val="100"/>
      </c:catAx>
      <c:valAx>
        <c:axId val="75207424"/>
        <c:scaling>
          <c:orientation val="minMax"/>
        </c:scaling>
        <c:axPos val="l"/>
        <c:majorGridlines/>
        <c:numFmt formatCode="#,##0.00" sourceLinked="1"/>
        <c:tickLblPos val="nextTo"/>
        <c:crossAx val="75193344"/>
        <c:crosses val="autoZero"/>
        <c:crossBetween val="between"/>
      </c:valAx>
    </c:plotArea>
    <c:legend>
      <c:legendPos val="r"/>
      <c:layout/>
    </c:legend>
    <c:plotVisOnly val="1"/>
  </c:chart>
  <c:spPr>
    <a:solidFill>
      <a:srgbClr val="F79646">
        <a:lumMod val="60000"/>
        <a:lumOff val="40000"/>
      </a:srgbClr>
    </a:solidFill>
    <a:ln w="25400"/>
    <a:scene3d>
      <a:camera prst="orthographicFront"/>
      <a:lightRig rig="threePt" dir="t"/>
    </a:scene3d>
    <a:sp3d>
      <a:bevelT/>
      <a:bevelB/>
    </a:sp3d>
  </c:spPr>
  <c:printSettings>
    <c:headerFooter/>
    <c:pageMargins b="0.75000000000000289" l="0.70000000000000062" r="0.70000000000000062" t="0.75000000000000289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3</xdr:row>
      <xdr:rowOff>0</xdr:rowOff>
    </xdr:from>
    <xdr:to>
      <xdr:col>6</xdr:col>
      <xdr:colOff>9525</xdr:colOff>
      <xdr:row>17</xdr:row>
      <xdr:rowOff>76200</xdr:rowOff>
    </xdr:to>
    <xdr:graphicFrame macro="">
      <xdr:nvGraphicFramePr>
        <xdr:cNvPr id="8" name="7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752475</xdr:colOff>
      <xdr:row>3</xdr:row>
      <xdr:rowOff>0</xdr:rowOff>
    </xdr:from>
    <xdr:to>
      <xdr:col>12</xdr:col>
      <xdr:colOff>752475</xdr:colOff>
      <xdr:row>17</xdr:row>
      <xdr:rowOff>85725</xdr:rowOff>
    </xdr:to>
    <xdr:graphicFrame macro="">
      <xdr:nvGraphicFramePr>
        <xdr:cNvPr id="9" name="8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</xdr:colOff>
      <xdr:row>22</xdr:row>
      <xdr:rowOff>0</xdr:rowOff>
    </xdr:from>
    <xdr:to>
      <xdr:col>6</xdr:col>
      <xdr:colOff>9525</xdr:colOff>
      <xdr:row>36</xdr:row>
      <xdr:rowOff>76200</xdr:rowOff>
    </xdr:to>
    <xdr:graphicFrame macro="">
      <xdr:nvGraphicFramePr>
        <xdr:cNvPr id="10" name="9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C48"/>
  <sheetViews>
    <sheetView tabSelected="1" zoomScale="80" zoomScaleNormal="80" workbookViewId="0">
      <selection activeCell="B16" sqref="B16:C16"/>
    </sheetView>
  </sheetViews>
  <sheetFormatPr baseColWidth="10" defaultRowHeight="12.75"/>
  <cols>
    <col min="1" max="1" width="3.42578125" style="10" customWidth="1"/>
    <col min="2" max="2" width="34.85546875" style="10" customWidth="1"/>
    <col min="3" max="3" width="12.28515625" style="10" customWidth="1"/>
    <col min="4" max="4" width="12.42578125" style="10" bestFit="1" customWidth="1"/>
    <col min="5" max="7" width="11.42578125" style="10"/>
    <col min="8" max="9" width="11.42578125" style="10" customWidth="1"/>
    <col min="10" max="14" width="12.5703125" style="10" customWidth="1"/>
    <col min="15" max="21" width="11.42578125" style="10"/>
    <col min="22" max="22" width="11.42578125" style="10" customWidth="1"/>
    <col min="23" max="23" width="11.42578125" style="10"/>
    <col min="24" max="24" width="12.7109375" style="10" bestFit="1" customWidth="1"/>
    <col min="25" max="16384" width="11.42578125" style="10"/>
  </cols>
  <sheetData>
    <row r="1" spans="1:29" ht="13.5" thickBot="1">
      <c r="A1" s="7"/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9"/>
    </row>
    <row r="2" spans="1:29" ht="15" customHeight="1">
      <c r="A2" s="11"/>
      <c r="B2" s="19" t="s">
        <v>42</v>
      </c>
      <c r="C2" s="112"/>
      <c r="D2" s="113" t="s">
        <v>66</v>
      </c>
      <c r="E2" s="12"/>
      <c r="F2" s="12"/>
      <c r="G2" s="12"/>
      <c r="H2" s="114" t="s">
        <v>38</v>
      </c>
      <c r="I2" s="115"/>
      <c r="J2" s="123" t="s">
        <v>39</v>
      </c>
      <c r="K2" s="124"/>
      <c r="L2" s="124"/>
      <c r="M2" s="124"/>
      <c r="N2" s="125"/>
      <c r="O2" s="12"/>
      <c r="P2" s="12"/>
      <c r="Q2" s="12"/>
      <c r="R2" s="12"/>
      <c r="S2" s="12"/>
      <c r="T2" s="12"/>
      <c r="U2" s="12"/>
      <c r="V2" s="12"/>
      <c r="W2" s="12"/>
      <c r="X2" s="12"/>
      <c r="Y2" s="12"/>
      <c r="Z2" s="13"/>
    </row>
    <row r="3" spans="1:29">
      <c r="A3" s="11"/>
      <c r="B3" s="11"/>
      <c r="C3" s="12"/>
      <c r="D3" s="13"/>
      <c r="E3" s="12"/>
      <c r="F3" s="12"/>
      <c r="G3" s="12"/>
      <c r="H3" s="116"/>
      <c r="I3" s="117"/>
      <c r="J3" s="120" t="s">
        <v>41</v>
      </c>
      <c r="K3" s="121"/>
      <c r="L3" s="121"/>
      <c r="M3" s="121"/>
      <c r="N3" s="122"/>
      <c r="O3" s="12"/>
      <c r="P3" s="12"/>
      <c r="Q3" s="12"/>
      <c r="R3" s="12"/>
      <c r="S3" s="12"/>
      <c r="T3" s="12"/>
      <c r="U3" s="12"/>
      <c r="V3" s="12"/>
      <c r="W3" s="12"/>
      <c r="X3" s="12"/>
      <c r="Y3" s="12"/>
      <c r="Z3" s="13"/>
    </row>
    <row r="4" spans="1:29" ht="15.75" customHeight="1" thickBot="1">
      <c r="A4" s="11"/>
      <c r="B4" s="129" t="s">
        <v>0</v>
      </c>
      <c r="C4" s="130"/>
      <c r="D4" s="15">
        <v>55000</v>
      </c>
      <c r="E4" s="12"/>
      <c r="F4" s="12"/>
      <c r="G4" s="12"/>
      <c r="H4" s="118"/>
      <c r="I4" s="119"/>
      <c r="J4" s="126" t="s">
        <v>40</v>
      </c>
      <c r="K4" s="127"/>
      <c r="L4" s="127"/>
      <c r="M4" s="127"/>
      <c r="N4" s="128"/>
      <c r="O4" s="12"/>
      <c r="P4" s="12"/>
      <c r="Q4" s="12"/>
      <c r="R4" s="12"/>
      <c r="S4" s="12"/>
      <c r="T4" s="12"/>
      <c r="U4" s="12"/>
      <c r="V4" s="12"/>
      <c r="W4" s="12"/>
      <c r="X4" s="12"/>
      <c r="Y4" s="12"/>
      <c r="Z4" s="13"/>
    </row>
    <row r="5" spans="1:29">
      <c r="A5" s="11"/>
      <c r="B5" s="11"/>
      <c r="C5" s="12"/>
      <c r="D5" s="13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3"/>
    </row>
    <row r="6" spans="1:29">
      <c r="A6" s="11"/>
      <c r="B6" s="129" t="s">
        <v>62</v>
      </c>
      <c r="C6" s="130"/>
      <c r="D6" s="15">
        <v>6000</v>
      </c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3"/>
      <c r="AC6" s="10" t="s">
        <v>65</v>
      </c>
    </row>
    <row r="7" spans="1:29">
      <c r="A7" s="11"/>
      <c r="B7" s="11"/>
      <c r="C7" s="12"/>
      <c r="D7" s="13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3"/>
      <c r="AC7" s="10" t="s">
        <v>66</v>
      </c>
    </row>
    <row r="8" spans="1:29">
      <c r="A8" s="11"/>
      <c r="B8" s="129" t="s">
        <v>1</v>
      </c>
      <c r="C8" s="130"/>
      <c r="D8" s="16">
        <v>21</v>
      </c>
      <c r="E8" s="12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3"/>
      <c r="AC8" s="10" t="s">
        <v>67</v>
      </c>
    </row>
    <row r="9" spans="1:29">
      <c r="A9" s="11"/>
      <c r="B9" s="11"/>
      <c r="C9" s="12"/>
      <c r="D9" s="13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3"/>
    </row>
    <row r="10" spans="1:29">
      <c r="A10" s="11"/>
      <c r="B10" s="129" t="s">
        <v>2</v>
      </c>
      <c r="C10" s="130"/>
      <c r="D10" s="17">
        <v>0.05</v>
      </c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3"/>
    </row>
    <row r="11" spans="1:29">
      <c r="A11" s="11"/>
      <c r="B11" s="11"/>
      <c r="C11" s="12"/>
      <c r="D11" s="13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3"/>
    </row>
    <row r="12" spans="1:29">
      <c r="A12" s="11"/>
      <c r="B12" s="129" t="s">
        <v>12</v>
      </c>
      <c r="C12" s="130"/>
      <c r="D12" s="17">
        <v>0.3</v>
      </c>
      <c r="E12" s="12"/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3"/>
    </row>
    <row r="13" spans="1:29">
      <c r="A13" s="11"/>
      <c r="B13" s="60"/>
      <c r="C13" s="74"/>
      <c r="D13" s="61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3"/>
    </row>
    <row r="14" spans="1:29">
      <c r="A14" s="11"/>
      <c r="B14" s="129" t="s">
        <v>46</v>
      </c>
      <c r="C14" s="130"/>
      <c r="D14" s="17">
        <v>0.08</v>
      </c>
      <c r="E14" s="12" t="s">
        <v>54</v>
      </c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3"/>
    </row>
    <row r="15" spans="1:29">
      <c r="A15" s="11"/>
      <c r="B15" s="11"/>
      <c r="C15" s="12"/>
      <c r="D15" s="13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3"/>
    </row>
    <row r="16" spans="1:29">
      <c r="A16" s="11"/>
      <c r="B16" s="134" t="s">
        <v>68</v>
      </c>
      <c r="C16" s="135"/>
      <c r="D16" s="17">
        <v>0.02</v>
      </c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3"/>
    </row>
    <row r="17" spans="1:26">
      <c r="A17" s="11"/>
      <c r="B17" s="11"/>
      <c r="C17" s="12"/>
      <c r="D17" s="13"/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  <c r="X17" s="12"/>
      <c r="Y17" s="12"/>
      <c r="Z17" s="13"/>
    </row>
    <row r="18" spans="1:26" ht="13.5" thickBot="1">
      <c r="A18" s="11"/>
      <c r="B18" s="140" t="s">
        <v>61</v>
      </c>
      <c r="C18" s="141"/>
      <c r="D18" s="99">
        <v>1</v>
      </c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3"/>
    </row>
    <row r="19" spans="1:26">
      <c r="A19" s="11"/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3"/>
    </row>
    <row r="20" spans="1:26" ht="13.5" thickBot="1">
      <c r="A20" s="11"/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3"/>
    </row>
    <row r="21" spans="1:26" ht="13.5" thickBot="1">
      <c r="A21" s="11"/>
      <c r="B21" s="19" t="s">
        <v>18</v>
      </c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1"/>
      <c r="X21" s="100"/>
      <c r="Y21" s="12"/>
      <c r="Z21" s="13"/>
    </row>
    <row r="22" spans="1:26">
      <c r="A22" s="12"/>
      <c r="B22" s="11"/>
      <c r="C22" s="22" t="s">
        <v>51</v>
      </c>
      <c r="D22" s="22" t="str">
        <f>IF('Plan inversión'!$D$8&gt;0,"Año 1","")</f>
        <v>Año 1</v>
      </c>
      <c r="E22" s="22" t="str">
        <f>IF('Plan inversión'!$D$8&gt;1,"Año 2","")</f>
        <v>Año 2</v>
      </c>
      <c r="F22" s="22" t="str">
        <f>IF('Plan inversión'!$D$8&gt;2,"Año 3","")</f>
        <v>Año 3</v>
      </c>
      <c r="G22" s="22" t="str">
        <f>IF('Plan inversión'!$D$8&gt;3,"Año 4","")</f>
        <v>Año 4</v>
      </c>
      <c r="H22" s="22" t="str">
        <f>IF('Plan inversión'!$D$8&gt;4,"Año 5","")</f>
        <v>Año 5</v>
      </c>
      <c r="I22" s="22" t="str">
        <f>IF('Plan inversión'!$D$8&gt;5,"Año 6","")</f>
        <v>Año 6</v>
      </c>
      <c r="J22" s="22" t="str">
        <f>IF('Plan inversión'!$D$8&gt;6,"Año 7","")</f>
        <v>Año 7</v>
      </c>
      <c r="K22" s="22" t="str">
        <f>IF('Plan inversión'!$D$8&gt;7,"Año 8","")</f>
        <v>Año 8</v>
      </c>
      <c r="L22" s="22" t="str">
        <f>IF('Plan inversión'!$D$8&gt;8,"Año 9","")</f>
        <v>Año 9</v>
      </c>
      <c r="M22" s="22" t="str">
        <f>IF('Plan inversión'!$D$8&gt;9,"Año 10","")</f>
        <v>Año 10</v>
      </c>
      <c r="N22" s="22" t="str">
        <f>IF('Plan inversión'!$D$8&gt;10,"Año 11","")</f>
        <v>Año 11</v>
      </c>
      <c r="O22" s="22" t="str">
        <f>IF('Plan inversión'!$D$8&gt;11,"Año 12","")</f>
        <v>Año 12</v>
      </c>
      <c r="P22" s="22" t="str">
        <f>IF('Plan inversión'!$D$8&gt;12,"Año 13","")</f>
        <v>Año 13</v>
      </c>
      <c r="Q22" s="22" t="str">
        <f>IF('Plan inversión'!$D$8&gt;13,"Año 14","")</f>
        <v>Año 14</v>
      </c>
      <c r="R22" s="22" t="str">
        <f>IF('Plan inversión'!$D$8&gt;14,"Año 15","")</f>
        <v>Año 15</v>
      </c>
      <c r="S22" s="22" t="str">
        <f>IF('Plan inversión'!$D$8&gt;15,"Año 16","")</f>
        <v>Año 16</v>
      </c>
      <c r="T22" s="22" t="str">
        <f>IF('Plan inversión'!$D$8&gt;16,"Año 17","")</f>
        <v>Año 17</v>
      </c>
      <c r="U22" s="22" t="str">
        <f>IF('Plan inversión'!$D$8&gt;17,"Año 18","")</f>
        <v>Año 18</v>
      </c>
      <c r="V22" s="22" t="str">
        <f>IF('Plan inversión'!$D$8&gt;18,"Año 19","")</f>
        <v>Año 19</v>
      </c>
      <c r="W22" s="22" t="str">
        <f>IF('Plan inversión'!$D$8&gt;19,"Año 20","")</f>
        <v>Año 20</v>
      </c>
      <c r="X22" s="131" t="s">
        <v>57</v>
      </c>
      <c r="Y22" s="12"/>
      <c r="Z22" s="13"/>
    </row>
    <row r="23" spans="1:26" ht="15" customHeight="1">
      <c r="A23" s="12"/>
      <c r="B23" s="129" t="s">
        <v>19</v>
      </c>
      <c r="C23" s="130"/>
      <c r="D23" s="96">
        <v>0</v>
      </c>
      <c r="E23" s="96">
        <v>2000</v>
      </c>
      <c r="F23" s="96">
        <v>5000</v>
      </c>
      <c r="G23" s="96">
        <v>2000</v>
      </c>
      <c r="H23" s="96">
        <v>0</v>
      </c>
      <c r="I23" s="96">
        <v>0</v>
      </c>
      <c r="J23" s="96">
        <v>0</v>
      </c>
      <c r="K23" s="96">
        <v>0</v>
      </c>
      <c r="L23" s="96">
        <v>0</v>
      </c>
      <c r="M23" s="96">
        <v>0</v>
      </c>
      <c r="N23" s="96">
        <v>0</v>
      </c>
      <c r="O23" s="96">
        <v>0</v>
      </c>
      <c r="P23" s="96">
        <v>0</v>
      </c>
      <c r="Q23" s="96">
        <v>0</v>
      </c>
      <c r="R23" s="96">
        <v>0</v>
      </c>
      <c r="S23" s="96">
        <v>0</v>
      </c>
      <c r="T23" s="96">
        <v>0</v>
      </c>
      <c r="U23" s="96">
        <v>0</v>
      </c>
      <c r="V23" s="96">
        <v>0</v>
      </c>
      <c r="W23" s="96">
        <v>0</v>
      </c>
      <c r="X23" s="132"/>
      <c r="Y23" s="12"/>
      <c r="Z23" s="13"/>
    </row>
    <row r="24" spans="1:26" ht="15" customHeight="1">
      <c r="A24" s="12"/>
      <c r="B24" s="129" t="s">
        <v>20</v>
      </c>
      <c r="C24" s="130"/>
      <c r="D24" s="96">
        <v>10000</v>
      </c>
      <c r="E24" s="96">
        <v>8000</v>
      </c>
      <c r="F24" s="96">
        <v>5000</v>
      </c>
      <c r="G24" s="96">
        <v>3000</v>
      </c>
      <c r="H24" s="96">
        <v>0</v>
      </c>
      <c r="I24" s="96">
        <v>0</v>
      </c>
      <c r="J24" s="96">
        <v>0</v>
      </c>
      <c r="K24" s="96">
        <v>0</v>
      </c>
      <c r="L24" s="96">
        <v>0</v>
      </c>
      <c r="M24" s="96">
        <v>0</v>
      </c>
      <c r="N24" s="96">
        <v>0</v>
      </c>
      <c r="O24" s="96">
        <v>0</v>
      </c>
      <c r="P24" s="96">
        <v>0</v>
      </c>
      <c r="Q24" s="96">
        <v>0</v>
      </c>
      <c r="R24" s="96">
        <v>0</v>
      </c>
      <c r="S24" s="96">
        <v>0</v>
      </c>
      <c r="T24" s="96">
        <v>0</v>
      </c>
      <c r="U24" s="96">
        <v>0</v>
      </c>
      <c r="V24" s="96">
        <v>0</v>
      </c>
      <c r="W24" s="96">
        <v>0</v>
      </c>
      <c r="X24" s="132"/>
      <c r="Y24" s="12"/>
      <c r="Z24" s="13"/>
    </row>
    <row r="25" spans="1:26" ht="15.75" customHeight="1">
      <c r="A25" s="12"/>
      <c r="B25" s="138" t="s">
        <v>64</v>
      </c>
      <c r="C25" s="139"/>
      <c r="D25" s="110">
        <f>IF($D$8&gt;0,D6,"0")</f>
        <v>6000</v>
      </c>
      <c r="E25" s="110">
        <f>IF($D$8&gt;1,D25*(1+$D$10),"0")</f>
        <v>6300</v>
      </c>
      <c r="F25" s="110">
        <f>IF($D$8&gt;2,E25*(1+$D$10),"0")</f>
        <v>6615</v>
      </c>
      <c r="G25" s="110">
        <f>IF($D$8&gt;3,F25*(1+$D$10),"0")</f>
        <v>6945.75</v>
      </c>
      <c r="H25" s="110">
        <v>8000</v>
      </c>
      <c r="I25" s="110">
        <f>IF($D$8&gt;5,H25*(1+$D$10),"0")</f>
        <v>8400</v>
      </c>
      <c r="J25" s="110">
        <f>IF($D$8&gt;6,I25*(1+$D$10),"0")</f>
        <v>8820</v>
      </c>
      <c r="K25" s="110">
        <f>IF($D$8&gt;7,J25*(1+$D$10),"0")</f>
        <v>9261</v>
      </c>
      <c r="L25" s="110">
        <f>IF($D$8&gt;8,K25*(1+$D$10),"0")</f>
        <v>9724.0500000000011</v>
      </c>
      <c r="M25" s="110">
        <v>11000</v>
      </c>
      <c r="N25" s="110">
        <f>IF($D$8&gt;10,M25*(1+$D$10),"0")</f>
        <v>11550</v>
      </c>
      <c r="O25" s="110">
        <f>IF($D$8&gt;11,N25*(1+$D$10),"0")</f>
        <v>12127.5</v>
      </c>
      <c r="P25" s="110">
        <f>IF($D$8&gt;12,O25*(1+$D$10),"0")</f>
        <v>12733.875</v>
      </c>
      <c r="Q25" s="110">
        <f>IF($D$8&gt;13,P25*(1+$D$10),"0")</f>
        <v>13370.56875</v>
      </c>
      <c r="R25" s="110">
        <f>IF($D$8&gt;14,Q25*(1+$D$10),"0")</f>
        <v>14039.097187500001</v>
      </c>
      <c r="S25" s="110">
        <f>IF($D$8&gt;15,R25*(1+$D$10),"0")</f>
        <v>14741.052046875002</v>
      </c>
      <c r="T25" s="110">
        <f>IF($D$8&gt;16,S25*(1+$D$10),"0")</f>
        <v>15478.104649218752</v>
      </c>
      <c r="U25" s="110">
        <f>IF($D$8&gt;17,T25*(1+$D$10),"0")</f>
        <v>16252.009881679691</v>
      </c>
      <c r="V25" s="110">
        <f>IF($D$8&gt;18,U25*(1+$D$10),"0")</f>
        <v>17064.610375763677</v>
      </c>
      <c r="W25" s="111">
        <f>IF($D$8&gt;19,V25*(1+$D$10),"0")</f>
        <v>17917.84089455186</v>
      </c>
      <c r="X25" s="132"/>
      <c r="Y25" s="12"/>
      <c r="Z25" s="13"/>
    </row>
    <row r="26" spans="1:26" ht="15.75" customHeight="1" thickBot="1">
      <c r="A26" s="12"/>
      <c r="B26" s="142" t="s">
        <v>63</v>
      </c>
      <c r="C26" s="143"/>
      <c r="D26" s="97">
        <f>+D25*(1-$D$12)</f>
        <v>4200</v>
      </c>
      <c r="E26" s="97">
        <f t="shared" ref="E26:W26" si="0">+E25*(1-$D$12)</f>
        <v>4410</v>
      </c>
      <c r="F26" s="97">
        <f t="shared" si="0"/>
        <v>4630.5</v>
      </c>
      <c r="G26" s="97">
        <f t="shared" si="0"/>
        <v>4862.0249999999996</v>
      </c>
      <c r="H26" s="97">
        <f t="shared" si="0"/>
        <v>5600</v>
      </c>
      <c r="I26" s="97">
        <f t="shared" si="0"/>
        <v>5880</v>
      </c>
      <c r="J26" s="97">
        <f t="shared" si="0"/>
        <v>6174</v>
      </c>
      <c r="K26" s="97">
        <f t="shared" si="0"/>
        <v>6482.7</v>
      </c>
      <c r="L26" s="97">
        <f t="shared" si="0"/>
        <v>6806.835</v>
      </c>
      <c r="M26" s="97">
        <f t="shared" si="0"/>
        <v>7699.9999999999991</v>
      </c>
      <c r="N26" s="97">
        <f t="shared" si="0"/>
        <v>8084.9999999999991</v>
      </c>
      <c r="O26" s="97">
        <f t="shared" si="0"/>
        <v>8489.25</v>
      </c>
      <c r="P26" s="97">
        <f t="shared" si="0"/>
        <v>8913.7124999999996</v>
      </c>
      <c r="Q26" s="97">
        <f t="shared" si="0"/>
        <v>9359.3981249999997</v>
      </c>
      <c r="R26" s="97">
        <f t="shared" si="0"/>
        <v>9827.3680312500001</v>
      </c>
      <c r="S26" s="97">
        <f t="shared" si="0"/>
        <v>10318.7364328125</v>
      </c>
      <c r="T26" s="97">
        <f t="shared" si="0"/>
        <v>10834.673254453126</v>
      </c>
      <c r="U26" s="97">
        <f t="shared" si="0"/>
        <v>11376.406917175784</v>
      </c>
      <c r="V26" s="97">
        <f t="shared" si="0"/>
        <v>11945.227263034574</v>
      </c>
      <c r="W26" s="97">
        <f t="shared" si="0"/>
        <v>12542.488626186301</v>
      </c>
      <c r="X26" s="133"/>
      <c r="Y26" s="12"/>
      <c r="Z26" s="13"/>
    </row>
    <row r="27" spans="1:26" ht="13.5" thickBot="1">
      <c r="A27" s="12"/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3"/>
    </row>
    <row r="28" spans="1:26" ht="13.5" thickBot="1">
      <c r="A28" s="12"/>
      <c r="B28" s="47" t="s">
        <v>43</v>
      </c>
      <c r="C28" s="75">
        <f>-D4</f>
        <v>-55000</v>
      </c>
      <c r="D28" s="54">
        <f>D26-D24-D23</f>
        <v>-5800</v>
      </c>
      <c r="E28" s="54">
        <f t="shared" ref="E28:W28" si="1">E26-E24-E23</f>
        <v>-5590</v>
      </c>
      <c r="F28" s="54">
        <f t="shared" si="1"/>
        <v>-5369.5</v>
      </c>
      <c r="G28" s="54">
        <f t="shared" si="1"/>
        <v>-137.97500000000036</v>
      </c>
      <c r="H28" s="54">
        <f t="shared" si="1"/>
        <v>5600</v>
      </c>
      <c r="I28" s="54">
        <f t="shared" si="1"/>
        <v>5880</v>
      </c>
      <c r="J28" s="54">
        <f t="shared" si="1"/>
        <v>6174</v>
      </c>
      <c r="K28" s="54">
        <f t="shared" si="1"/>
        <v>6482.7</v>
      </c>
      <c r="L28" s="54">
        <f t="shared" si="1"/>
        <v>6806.835</v>
      </c>
      <c r="M28" s="54">
        <f t="shared" si="1"/>
        <v>7699.9999999999991</v>
      </c>
      <c r="N28" s="54">
        <f t="shared" si="1"/>
        <v>8084.9999999999991</v>
      </c>
      <c r="O28" s="54">
        <f t="shared" si="1"/>
        <v>8489.25</v>
      </c>
      <c r="P28" s="54">
        <f t="shared" si="1"/>
        <v>8913.7124999999996</v>
      </c>
      <c r="Q28" s="54">
        <f t="shared" si="1"/>
        <v>9359.3981249999997</v>
      </c>
      <c r="R28" s="54">
        <f t="shared" si="1"/>
        <v>9827.3680312500001</v>
      </c>
      <c r="S28" s="54">
        <f t="shared" si="1"/>
        <v>10318.7364328125</v>
      </c>
      <c r="T28" s="54">
        <f t="shared" si="1"/>
        <v>10834.673254453126</v>
      </c>
      <c r="U28" s="54">
        <f t="shared" si="1"/>
        <v>11376.406917175784</v>
      </c>
      <c r="V28" s="54">
        <f t="shared" si="1"/>
        <v>11945.227263034574</v>
      </c>
      <c r="W28" s="54">
        <f t="shared" si="1"/>
        <v>12542.488626186301</v>
      </c>
      <c r="X28" s="87">
        <f>IF($D$8&gt;20,(W28*(1+$D$10))/(D14-D16),"0")</f>
        <v>219493.55095826028</v>
      </c>
      <c r="Y28" s="12"/>
      <c r="Z28" s="13"/>
    </row>
    <row r="29" spans="1:26" ht="13.5" thickBot="1">
      <c r="A29" s="11"/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02"/>
      <c r="Y29" s="12"/>
      <c r="Z29" s="13"/>
    </row>
    <row r="30" spans="1:26" ht="15.75" customHeight="1" thickBot="1">
      <c r="A30" s="11"/>
      <c r="B30" s="136" t="s">
        <v>45</v>
      </c>
      <c r="C30" s="137"/>
      <c r="D30" s="52">
        <f>NPV(D14,D28:X28)-D4</f>
        <v>26316.84851317406</v>
      </c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02"/>
      <c r="Y30" s="12"/>
      <c r="Z30" s="13"/>
    </row>
    <row r="31" spans="1:26" ht="13.5" thickBot="1">
      <c r="A31" s="11"/>
      <c r="B31" s="12"/>
      <c r="C31" s="12"/>
      <c r="D31" s="12"/>
      <c r="E31" s="12"/>
      <c r="F31" s="12"/>
      <c r="G31" s="12"/>
      <c r="H31" s="12"/>
      <c r="I31" s="12"/>
      <c r="J31" s="12"/>
      <c r="K31" s="12"/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2"/>
      <c r="W31" s="12"/>
      <c r="X31" s="102"/>
      <c r="Y31" s="12"/>
      <c r="Z31" s="13"/>
    </row>
    <row r="32" spans="1:26" ht="15.75" customHeight="1" thickBot="1">
      <c r="A32" s="11"/>
      <c r="B32" s="136" t="s">
        <v>56</v>
      </c>
      <c r="C32" s="137"/>
      <c r="D32" s="76">
        <f>IRR(C28:X28,D14)</f>
        <v>0.10277471008483552</v>
      </c>
      <c r="E32" s="12"/>
      <c r="F32" s="12"/>
      <c r="G32" s="12"/>
      <c r="H32" s="12"/>
      <c r="I32" s="12"/>
      <c r="J32" s="12"/>
      <c r="K32" s="12"/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02"/>
      <c r="Y32" s="12"/>
      <c r="Z32" s="13"/>
    </row>
    <row r="33" spans="1:26" ht="13.5" thickBot="1">
      <c r="A33" s="11"/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02"/>
      <c r="Y33" s="12"/>
      <c r="Z33" s="13"/>
    </row>
    <row r="34" spans="1:26" ht="13.5" thickBot="1">
      <c r="A34" s="11"/>
      <c r="B34" s="63" t="s">
        <v>48</v>
      </c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02"/>
      <c r="Y34" s="12"/>
      <c r="Z34" s="13"/>
    </row>
    <row r="35" spans="1:26" ht="13.5" thickBot="1">
      <c r="A35" s="11"/>
      <c r="B35" s="51" t="s">
        <v>49</v>
      </c>
      <c r="C35" s="51"/>
      <c r="D35" s="64">
        <v>0.25</v>
      </c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/>
      <c r="T35" s="12"/>
      <c r="U35" s="12"/>
      <c r="V35" s="12"/>
      <c r="W35" s="12"/>
      <c r="X35" s="102"/>
      <c r="Y35" s="12"/>
      <c r="Z35" s="13"/>
    </row>
    <row r="36" spans="1:26" ht="13.5" thickBot="1">
      <c r="A36" s="11"/>
      <c r="B36" s="51" t="s">
        <v>43</v>
      </c>
      <c r="C36" s="75">
        <f>-D4</f>
        <v>-55000</v>
      </c>
      <c r="D36" s="54">
        <f>D26*(1+$D$35)-D24-D23</f>
        <v>-4750</v>
      </c>
      <c r="E36" s="54">
        <f t="shared" ref="E36:W36" si="2">E26*(1+$D$35)-E24-E23</f>
        <v>-4487.5</v>
      </c>
      <c r="F36" s="54">
        <f t="shared" si="2"/>
        <v>-4211.875</v>
      </c>
      <c r="G36" s="54">
        <f t="shared" si="2"/>
        <v>1077.53125</v>
      </c>
      <c r="H36" s="54">
        <f t="shared" si="2"/>
        <v>7000</v>
      </c>
      <c r="I36" s="54">
        <f t="shared" si="2"/>
        <v>7350</v>
      </c>
      <c r="J36" s="54">
        <f t="shared" si="2"/>
        <v>7717.5</v>
      </c>
      <c r="K36" s="54">
        <f t="shared" si="2"/>
        <v>8103.375</v>
      </c>
      <c r="L36" s="54">
        <f t="shared" si="2"/>
        <v>8508.5437500000007</v>
      </c>
      <c r="M36" s="54">
        <f t="shared" si="2"/>
        <v>9624.9999999999982</v>
      </c>
      <c r="N36" s="54">
        <f t="shared" si="2"/>
        <v>10106.249999999998</v>
      </c>
      <c r="O36" s="54">
        <f t="shared" si="2"/>
        <v>10611.5625</v>
      </c>
      <c r="P36" s="54">
        <f t="shared" si="2"/>
        <v>11142.140625</v>
      </c>
      <c r="Q36" s="54">
        <f t="shared" si="2"/>
        <v>11699.24765625</v>
      </c>
      <c r="R36" s="54">
        <f t="shared" si="2"/>
        <v>12284.2100390625</v>
      </c>
      <c r="S36" s="54">
        <f t="shared" si="2"/>
        <v>12898.420541015625</v>
      </c>
      <c r="T36" s="54">
        <f t="shared" si="2"/>
        <v>13543.341568066407</v>
      </c>
      <c r="U36" s="54">
        <f t="shared" si="2"/>
        <v>14220.508646469731</v>
      </c>
      <c r="V36" s="54">
        <f t="shared" si="2"/>
        <v>14931.534078793218</v>
      </c>
      <c r="W36" s="54">
        <f t="shared" si="2"/>
        <v>15678.110782732876</v>
      </c>
      <c r="X36" s="87">
        <f>IF($D$8&gt;20,(W36*(1+$D$10))/(D14-D16),"0")</f>
        <v>274366.93869782536</v>
      </c>
      <c r="Y36" s="12"/>
      <c r="Z36" s="13"/>
    </row>
    <row r="37" spans="1:26" ht="13.5" thickBot="1">
      <c r="A37" s="11"/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2"/>
      <c r="P37" s="12"/>
      <c r="Q37" s="12"/>
      <c r="R37" s="12"/>
      <c r="S37" s="12"/>
      <c r="T37" s="12"/>
      <c r="U37" s="12"/>
      <c r="V37" s="12"/>
      <c r="W37" s="12"/>
      <c r="X37" s="102"/>
      <c r="Y37" s="12"/>
      <c r="Z37" s="13"/>
    </row>
    <row r="38" spans="1:26" ht="15.75" customHeight="1" thickBot="1">
      <c r="A38" s="11"/>
      <c r="B38" s="136" t="s">
        <v>45</v>
      </c>
      <c r="C38" s="137"/>
      <c r="D38" s="52">
        <f>NPV(D14,D36:X36)-D4</f>
        <v>54007.590425582879</v>
      </c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2"/>
      <c r="P38" s="12"/>
      <c r="Q38" s="12"/>
      <c r="R38" s="12"/>
      <c r="S38" s="12"/>
      <c r="T38" s="12"/>
      <c r="U38" s="12"/>
      <c r="V38" s="12"/>
      <c r="W38" s="12"/>
      <c r="X38" s="102"/>
      <c r="Y38" s="12"/>
      <c r="Z38" s="13"/>
    </row>
    <row r="39" spans="1:26" ht="15.75" customHeight="1" thickBot="1">
      <c r="A39" s="11"/>
      <c r="B39" s="136" t="s">
        <v>56</v>
      </c>
      <c r="C39" s="137"/>
      <c r="D39" s="76">
        <f>IRR(C36:X36,D14)</f>
        <v>0.12345880843720074</v>
      </c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2"/>
      <c r="P39" s="12"/>
      <c r="Q39" s="12"/>
      <c r="R39" s="12"/>
      <c r="S39" s="12"/>
      <c r="T39" s="12"/>
      <c r="U39" s="12"/>
      <c r="V39" s="12"/>
      <c r="W39" s="12"/>
      <c r="X39" s="102"/>
      <c r="Y39" s="12"/>
      <c r="Z39" s="13"/>
    </row>
    <row r="40" spans="1:26" ht="13.5" thickBot="1">
      <c r="A40" s="11"/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2"/>
      <c r="P40" s="12"/>
      <c r="Q40" s="12"/>
      <c r="R40" s="12"/>
      <c r="S40" s="12"/>
      <c r="T40" s="12"/>
      <c r="U40" s="12"/>
      <c r="V40" s="12"/>
      <c r="W40" s="12"/>
      <c r="X40" s="102"/>
      <c r="Y40" s="12"/>
      <c r="Z40" s="13"/>
    </row>
    <row r="41" spans="1:26" ht="13.5" thickBot="1">
      <c r="A41" s="11"/>
      <c r="B41" s="63" t="s">
        <v>50</v>
      </c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2"/>
      <c r="P41" s="12"/>
      <c r="Q41" s="12"/>
      <c r="R41" s="12"/>
      <c r="S41" s="12"/>
      <c r="T41" s="12"/>
      <c r="U41" s="12"/>
      <c r="V41" s="12"/>
      <c r="W41" s="12"/>
      <c r="X41" s="102"/>
      <c r="Y41" s="12"/>
      <c r="Z41" s="13"/>
    </row>
    <row r="42" spans="1:26" ht="13.5" thickBot="1">
      <c r="A42" s="11"/>
      <c r="B42" s="51" t="s">
        <v>49</v>
      </c>
      <c r="C42" s="51"/>
      <c r="D42" s="64">
        <v>-0.25</v>
      </c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2"/>
      <c r="P42" s="12"/>
      <c r="Q42" s="12"/>
      <c r="R42" s="12"/>
      <c r="S42" s="12"/>
      <c r="T42" s="12"/>
      <c r="U42" s="12"/>
      <c r="V42" s="12"/>
      <c r="W42" s="12"/>
      <c r="X42" s="102"/>
      <c r="Y42" s="12"/>
      <c r="Z42" s="13"/>
    </row>
    <row r="43" spans="1:26" ht="13.5" thickBot="1">
      <c r="A43" s="11"/>
      <c r="B43" s="51" t="s">
        <v>43</v>
      </c>
      <c r="C43" s="75">
        <f>-D4</f>
        <v>-55000</v>
      </c>
      <c r="D43" s="54">
        <f>D26*(1+$D$42)-D24-D23</f>
        <v>-6850</v>
      </c>
      <c r="E43" s="54">
        <f t="shared" ref="E43:W43" si="3">E26*(1+$D$42)-E24-E23</f>
        <v>-6692.5</v>
      </c>
      <c r="F43" s="54">
        <f t="shared" si="3"/>
        <v>-6527.125</v>
      </c>
      <c r="G43" s="54">
        <f t="shared" si="3"/>
        <v>-1353.4812500000003</v>
      </c>
      <c r="H43" s="54">
        <f t="shared" si="3"/>
        <v>4200</v>
      </c>
      <c r="I43" s="54">
        <f t="shared" si="3"/>
        <v>4410</v>
      </c>
      <c r="J43" s="54">
        <f t="shared" si="3"/>
        <v>4630.5</v>
      </c>
      <c r="K43" s="54">
        <f t="shared" si="3"/>
        <v>4862.0249999999996</v>
      </c>
      <c r="L43" s="54">
        <f t="shared" si="3"/>
        <v>5105.1262500000003</v>
      </c>
      <c r="M43" s="54">
        <f t="shared" si="3"/>
        <v>5774.9999999999991</v>
      </c>
      <c r="N43" s="54">
        <f t="shared" si="3"/>
        <v>6063.7499999999991</v>
      </c>
      <c r="O43" s="54">
        <f t="shared" si="3"/>
        <v>6366.9375</v>
      </c>
      <c r="P43" s="54">
        <f t="shared" si="3"/>
        <v>6685.2843749999993</v>
      </c>
      <c r="Q43" s="54">
        <f t="shared" si="3"/>
        <v>7019.5485937499998</v>
      </c>
      <c r="R43" s="54">
        <f t="shared" si="3"/>
        <v>7370.5260234375</v>
      </c>
      <c r="S43" s="54">
        <f t="shared" si="3"/>
        <v>7739.0523246093753</v>
      </c>
      <c r="T43" s="54">
        <f t="shared" si="3"/>
        <v>8126.0049408398445</v>
      </c>
      <c r="U43" s="54">
        <f t="shared" si="3"/>
        <v>8532.3051878818369</v>
      </c>
      <c r="V43" s="54">
        <f t="shared" si="3"/>
        <v>8958.9204472759302</v>
      </c>
      <c r="W43" s="54">
        <f t="shared" si="3"/>
        <v>9406.8664696397263</v>
      </c>
      <c r="X43" s="87">
        <f>IF($D$8&gt;20,(W43*(1+$D$10))/(D14-D16),"0")</f>
        <v>164620.1632186952</v>
      </c>
      <c r="Y43" s="12"/>
      <c r="Z43" s="13"/>
    </row>
    <row r="44" spans="1:26" ht="13.5" thickBot="1">
      <c r="A44" s="11"/>
      <c r="B44" s="12"/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12"/>
      <c r="P44" s="12"/>
      <c r="Q44" s="12"/>
      <c r="R44" s="12"/>
      <c r="S44" s="12"/>
      <c r="T44" s="12"/>
      <c r="U44" s="12"/>
      <c r="V44" s="12"/>
      <c r="W44" s="12"/>
      <c r="X44" s="12"/>
      <c r="Y44" s="12"/>
      <c r="Z44" s="13"/>
    </row>
    <row r="45" spans="1:26" ht="16.5" customHeight="1" thickBot="1">
      <c r="A45" s="11"/>
      <c r="B45" s="136" t="s">
        <v>45</v>
      </c>
      <c r="C45" s="137"/>
      <c r="D45" s="52">
        <f>NPV(D14,D43:X43)-D4</f>
        <v>-1373.8933992347011</v>
      </c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12"/>
      <c r="P45" s="12"/>
      <c r="Q45" s="12"/>
      <c r="R45" s="12"/>
      <c r="S45" s="12"/>
      <c r="T45" s="12"/>
      <c r="U45" s="12"/>
      <c r="V45" s="12"/>
      <c r="W45" s="12"/>
      <c r="X45" s="12"/>
      <c r="Y45" s="12"/>
      <c r="Z45" s="13"/>
    </row>
    <row r="46" spans="1:26" ht="16.5" customHeight="1" thickBot="1">
      <c r="A46" s="11"/>
      <c r="B46" s="136" t="s">
        <v>56</v>
      </c>
      <c r="C46" s="137"/>
      <c r="D46" s="76">
        <f>IRR(C43:X43,D14)</f>
        <v>7.8691969182506774E-2</v>
      </c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12"/>
      <c r="P46" s="12"/>
      <c r="Q46" s="12"/>
      <c r="R46" s="12"/>
      <c r="S46" s="12"/>
      <c r="T46" s="12"/>
      <c r="U46" s="12"/>
      <c r="V46" s="12"/>
      <c r="W46" s="12"/>
      <c r="X46" s="12"/>
      <c r="Y46" s="12"/>
      <c r="Z46" s="13"/>
    </row>
    <row r="47" spans="1:26">
      <c r="A47" s="11"/>
      <c r="B47" s="12"/>
      <c r="C47" s="12"/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12"/>
      <c r="P47" s="12"/>
      <c r="Q47" s="12"/>
      <c r="R47" s="12"/>
      <c r="S47" s="12"/>
      <c r="T47" s="12"/>
      <c r="U47" s="12"/>
      <c r="V47" s="12"/>
      <c r="W47" s="12"/>
      <c r="X47" s="12"/>
      <c r="Y47" s="12"/>
      <c r="Z47" s="13"/>
    </row>
    <row r="48" spans="1:26" ht="13.5" thickBot="1">
      <c r="A48" s="25"/>
      <c r="B48" s="26"/>
      <c r="C48" s="26"/>
      <c r="D48" s="26"/>
      <c r="E48" s="26"/>
      <c r="F48" s="26"/>
      <c r="G48" s="26"/>
      <c r="H48" s="26"/>
      <c r="I48" s="26"/>
      <c r="J48" s="26"/>
      <c r="K48" s="26"/>
      <c r="L48" s="26"/>
      <c r="M48" s="26"/>
      <c r="N48" s="26"/>
      <c r="O48" s="26"/>
      <c r="P48" s="26"/>
      <c r="Q48" s="26"/>
      <c r="R48" s="26"/>
      <c r="S48" s="26"/>
      <c r="T48" s="26"/>
      <c r="U48" s="26"/>
      <c r="V48" s="26"/>
      <c r="W48" s="26"/>
      <c r="X48" s="26"/>
      <c r="Y48" s="26"/>
      <c r="Z48" s="27"/>
    </row>
  </sheetData>
  <mergeCells count="23">
    <mergeCell ref="B46:C46"/>
    <mergeCell ref="B23:C23"/>
    <mergeCell ref="B24:C24"/>
    <mergeCell ref="B25:C25"/>
    <mergeCell ref="B30:C30"/>
    <mergeCell ref="B32:C32"/>
    <mergeCell ref="B38:C38"/>
    <mergeCell ref="B39:C39"/>
    <mergeCell ref="B45:C45"/>
    <mergeCell ref="B26:C26"/>
    <mergeCell ref="X22:X26"/>
    <mergeCell ref="B6:C6"/>
    <mergeCell ref="B8:C8"/>
    <mergeCell ref="B10:C10"/>
    <mergeCell ref="B12:C12"/>
    <mergeCell ref="B14:C14"/>
    <mergeCell ref="B16:C16"/>
    <mergeCell ref="B18:C18"/>
    <mergeCell ref="H2:I4"/>
    <mergeCell ref="J3:N3"/>
    <mergeCell ref="J2:N2"/>
    <mergeCell ref="J4:N4"/>
    <mergeCell ref="B4:C4"/>
  </mergeCells>
  <conditionalFormatting sqref="D30">
    <cfRule type="cellIs" dxfId="44" priority="15" operator="lessThan">
      <formula>0</formula>
    </cfRule>
  </conditionalFormatting>
  <conditionalFormatting sqref="D32">
    <cfRule type="cellIs" dxfId="43" priority="14" operator="lessThan">
      <formula>0</formula>
    </cfRule>
  </conditionalFormatting>
  <conditionalFormatting sqref="D39">
    <cfRule type="cellIs" dxfId="42" priority="13" operator="lessThan">
      <formula>0</formula>
    </cfRule>
  </conditionalFormatting>
  <conditionalFormatting sqref="D46">
    <cfRule type="cellIs" dxfId="41" priority="12" operator="lessThan">
      <formula>0</formula>
    </cfRule>
  </conditionalFormatting>
  <conditionalFormatting sqref="D38">
    <cfRule type="cellIs" dxfId="40" priority="11" operator="lessThan">
      <formula>0</formula>
    </cfRule>
  </conditionalFormatting>
  <conditionalFormatting sqref="D45">
    <cfRule type="cellIs" dxfId="39" priority="10" operator="lessThan">
      <formula>0</formula>
    </cfRule>
  </conditionalFormatting>
  <conditionalFormatting sqref="D28">
    <cfRule type="cellIs" dxfId="38" priority="9" operator="lessThan">
      <formula>0</formula>
    </cfRule>
  </conditionalFormatting>
  <conditionalFormatting sqref="E28:X28">
    <cfRule type="cellIs" dxfId="37" priority="8" operator="lessThan">
      <formula>0</formula>
    </cfRule>
  </conditionalFormatting>
  <conditionalFormatting sqref="D36">
    <cfRule type="cellIs" dxfId="36" priority="7" operator="lessThan">
      <formula>0</formula>
    </cfRule>
  </conditionalFormatting>
  <conditionalFormatting sqref="E36:X36">
    <cfRule type="cellIs" dxfId="35" priority="6" operator="lessThan">
      <formula>0</formula>
    </cfRule>
  </conditionalFormatting>
  <conditionalFormatting sqref="D43">
    <cfRule type="cellIs" dxfId="34" priority="5" operator="lessThan">
      <formula>0</formula>
    </cfRule>
  </conditionalFormatting>
  <conditionalFormatting sqref="E43:X43">
    <cfRule type="cellIs" dxfId="33" priority="4" operator="lessThan">
      <formula>0</formula>
    </cfRule>
  </conditionalFormatting>
  <conditionalFormatting sqref="E28:W28">
    <cfRule type="cellIs" dxfId="32" priority="3" operator="lessThan">
      <formula>0</formula>
    </cfRule>
  </conditionalFormatting>
  <conditionalFormatting sqref="E36:W36">
    <cfRule type="cellIs" dxfId="31" priority="2" operator="lessThan">
      <formula>0</formula>
    </cfRule>
  </conditionalFormatting>
  <conditionalFormatting sqref="E43:W43">
    <cfRule type="cellIs" dxfId="30" priority="1" operator="lessThan">
      <formula>0</formula>
    </cfRule>
  </conditionalFormatting>
  <dataValidations count="1">
    <dataValidation type="list" allowBlank="1" showInputMessage="1" showErrorMessage="1" sqref="D2">
      <formula1>$AC$6:$AC$8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Z42"/>
  <sheetViews>
    <sheetView zoomScale="80" zoomScaleNormal="80" workbookViewId="0">
      <selection activeCell="D5" sqref="D5"/>
    </sheetView>
  </sheetViews>
  <sheetFormatPr baseColWidth="10" defaultRowHeight="12.75"/>
  <cols>
    <col min="1" max="1" width="11.42578125" style="10"/>
    <col min="2" max="2" width="27.5703125" style="10" customWidth="1"/>
    <col min="3" max="4" width="12.85546875" style="10" bestFit="1" customWidth="1"/>
    <col min="5" max="5" width="20.5703125" style="10" bestFit="1" customWidth="1"/>
    <col min="6" max="7" width="11.5703125" style="10" bestFit="1" customWidth="1"/>
    <col min="8" max="8" width="12.85546875" style="10" customWidth="1"/>
    <col min="9" max="9" width="12.5703125" style="10" bestFit="1" customWidth="1"/>
    <col min="10" max="11" width="11.5703125" style="10" bestFit="1" customWidth="1"/>
    <col min="12" max="12" width="17" style="10" customWidth="1"/>
    <col min="13" max="13" width="10.85546875" style="10" bestFit="1" customWidth="1"/>
    <col min="14" max="14" width="12.7109375" style="10" customWidth="1"/>
    <col min="15" max="15" width="11.5703125" style="10" bestFit="1" customWidth="1"/>
    <col min="16" max="16384" width="11.42578125" style="10"/>
  </cols>
  <sheetData>
    <row r="1" spans="1:26" ht="13.5" thickBot="1">
      <c r="A1" s="7"/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9"/>
    </row>
    <row r="2" spans="1:26">
      <c r="A2" s="11"/>
      <c r="B2" s="148" t="s">
        <v>21</v>
      </c>
      <c r="C2" s="149"/>
      <c r="D2" s="12"/>
      <c r="E2" s="28" t="s">
        <v>23</v>
      </c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30"/>
      <c r="Z2" s="13"/>
    </row>
    <row r="3" spans="1:26">
      <c r="A3" s="11"/>
      <c r="B3" s="11"/>
      <c r="C3" s="13"/>
      <c r="D3" s="12"/>
      <c r="E3" s="11"/>
      <c r="F3" s="22" t="str">
        <f>IF('Plan inversión'!$D$8&gt;0,"Año 1","")</f>
        <v>Año 1</v>
      </c>
      <c r="G3" s="22" t="str">
        <f>IF('Plan inversión'!$D$8&gt;1,"Año 2","")</f>
        <v>Año 2</v>
      </c>
      <c r="H3" s="22" t="str">
        <f>IF('Plan inversión'!$D$8&gt;2,"Año 3","")</f>
        <v>Año 3</v>
      </c>
      <c r="I3" s="22" t="str">
        <f>IF('Plan inversión'!$D$8&gt;3,"Año 4","")</f>
        <v>Año 4</v>
      </c>
      <c r="J3" s="22" t="str">
        <f>IF('Plan inversión'!$D$8&gt;4,"Año 5","")</f>
        <v>Año 5</v>
      </c>
      <c r="K3" s="22" t="str">
        <f>IF('Plan inversión'!$D$8&gt;5,"Año 6","")</f>
        <v>Año 6</v>
      </c>
      <c r="L3" s="22" t="str">
        <f>IF('Plan inversión'!$D$8&gt;6,"Año 7","")</f>
        <v>Año 7</v>
      </c>
      <c r="M3" s="22" t="str">
        <f>IF('Plan inversión'!$D$8&gt;7,"Año 8","")</f>
        <v>Año 8</v>
      </c>
      <c r="N3" s="22" t="str">
        <f>IF('Plan inversión'!$D$8&gt;8,"Año 9","")</f>
        <v>Año 9</v>
      </c>
      <c r="O3" s="22" t="str">
        <f>IF('Plan inversión'!$D$8&gt;9,"Año 10","")</f>
        <v>Año 10</v>
      </c>
      <c r="P3" s="22" t="str">
        <f>IF('Plan inversión'!$D$8&gt;10,"Año 11","")</f>
        <v>Año 11</v>
      </c>
      <c r="Q3" s="22" t="str">
        <f>IF('Plan inversión'!$D$8&gt;11,"Año 12","")</f>
        <v>Año 12</v>
      </c>
      <c r="R3" s="22" t="str">
        <f>IF('Plan inversión'!$D$8&gt;12,"Año 13","")</f>
        <v>Año 13</v>
      </c>
      <c r="S3" s="22" t="str">
        <f>IF('Plan inversión'!$D$8&gt;13,"Año 14","")</f>
        <v>Año 14</v>
      </c>
      <c r="T3" s="22" t="str">
        <f>IF('Plan inversión'!$D$8&gt;14,"Año 15","")</f>
        <v>Año 15</v>
      </c>
      <c r="U3" s="22" t="str">
        <f>IF('Plan inversión'!$D$8&gt;15,"Año 16","")</f>
        <v>Año 16</v>
      </c>
      <c r="V3" s="22" t="str">
        <f>IF('Plan inversión'!$D$8&gt;16,"Año 17","")</f>
        <v>Año 17</v>
      </c>
      <c r="W3" s="22" t="str">
        <f>IF('Plan inversión'!$D$8&gt;17,"Año 18","")</f>
        <v>Año 18</v>
      </c>
      <c r="X3" s="22" t="str">
        <f>IF('Plan inversión'!$D$8&gt;18,"Año 19","")</f>
        <v>Año 19</v>
      </c>
      <c r="Y3" s="23" t="str">
        <f>IF('Plan inversión'!$D$8&gt;19,"Año 20","")</f>
        <v>Año 20</v>
      </c>
      <c r="Z3" s="13"/>
    </row>
    <row r="4" spans="1:26" ht="13.5" thickBot="1">
      <c r="A4" s="11"/>
      <c r="B4" s="14" t="s">
        <v>3</v>
      </c>
      <c r="C4" s="15">
        <v>5000</v>
      </c>
      <c r="D4" s="12"/>
      <c r="E4" s="18" t="s">
        <v>3</v>
      </c>
      <c r="F4" s="57">
        <v>10000</v>
      </c>
      <c r="G4" s="57">
        <v>7000</v>
      </c>
      <c r="H4" s="57">
        <v>4000</v>
      </c>
      <c r="I4" s="57">
        <v>2500</v>
      </c>
      <c r="J4" s="57">
        <v>5000</v>
      </c>
      <c r="K4" s="57">
        <v>0</v>
      </c>
      <c r="L4" s="57">
        <v>0</v>
      </c>
      <c r="M4" s="57">
        <v>0</v>
      </c>
      <c r="N4" s="57">
        <v>0</v>
      </c>
      <c r="O4" s="57">
        <v>0</v>
      </c>
      <c r="P4" s="57">
        <v>0</v>
      </c>
      <c r="Q4" s="57">
        <v>0</v>
      </c>
      <c r="R4" s="57">
        <v>0</v>
      </c>
      <c r="S4" s="57">
        <v>0</v>
      </c>
      <c r="T4" s="57">
        <v>0</v>
      </c>
      <c r="U4" s="57">
        <v>0</v>
      </c>
      <c r="V4" s="57">
        <v>0</v>
      </c>
      <c r="W4" s="57">
        <v>0</v>
      </c>
      <c r="X4" s="57">
        <v>0</v>
      </c>
      <c r="Y4" s="66">
        <v>0</v>
      </c>
      <c r="Z4" s="13"/>
    </row>
    <row r="5" spans="1:26" ht="13.5" thickBot="1">
      <c r="A5" s="11"/>
      <c r="B5" s="11"/>
      <c r="C5" s="13"/>
      <c r="D5" s="12"/>
      <c r="E5" s="18" t="s">
        <v>36</v>
      </c>
      <c r="F5" s="40">
        <f>IF($I$28=1,$I$27,0)</f>
        <v>0</v>
      </c>
      <c r="G5" s="40">
        <f>IF($I$28=2,$I$27,0)</f>
        <v>0</v>
      </c>
      <c r="H5" s="40">
        <f>IF($I$28=3,$I$27,0)</f>
        <v>8000</v>
      </c>
      <c r="I5" s="40">
        <f>IF($I$28=4,$I$27,0)</f>
        <v>0</v>
      </c>
      <c r="J5" s="40">
        <f>IF($I$28=5,$I$27,0)</f>
        <v>0</v>
      </c>
      <c r="K5" s="40">
        <f>IF($I$28=6,$I$27,0)</f>
        <v>0</v>
      </c>
      <c r="L5" s="40">
        <f>IF($I$28=7,$I$27,0)</f>
        <v>0</v>
      </c>
      <c r="M5" s="40">
        <f>IF($I$28=8,$I$27,0)</f>
        <v>0</v>
      </c>
      <c r="N5" s="40">
        <f>IF($I$28=9,$I$27,0)</f>
        <v>0</v>
      </c>
      <c r="O5" s="40">
        <f>IF($I$28=10,$I$27,0)</f>
        <v>0</v>
      </c>
      <c r="P5" s="40">
        <f>IF($I$28=11,$I$27,0)</f>
        <v>0</v>
      </c>
      <c r="Q5" s="40">
        <f>IF($I$28=12,$I$27,0)</f>
        <v>0</v>
      </c>
      <c r="R5" s="40">
        <f>IF($I$28=13,$I$27,0)</f>
        <v>0</v>
      </c>
      <c r="S5" s="40">
        <f>IF($I$28=14,$I$27,0)</f>
        <v>0</v>
      </c>
      <c r="T5" s="40">
        <f>IF($I$28=15,$I$27,0)</f>
        <v>0</v>
      </c>
      <c r="U5" s="40">
        <f>IF($I$28=16,$I$27,0)</f>
        <v>0</v>
      </c>
      <c r="V5" s="40">
        <f>IF($I$28=17,$I$27,0)</f>
        <v>0</v>
      </c>
      <c r="W5" s="40">
        <f>IF($I$28=18,$I$27,0)</f>
        <v>0</v>
      </c>
      <c r="X5" s="40">
        <f>IF($I$28=19,$I$27,0)</f>
        <v>0</v>
      </c>
      <c r="Y5" s="103">
        <f>IF($I$28=20,$I$27,0)</f>
        <v>0</v>
      </c>
      <c r="Z5" s="13"/>
    </row>
    <row r="6" spans="1:26" ht="13.5" thickBot="1">
      <c r="A6" s="11"/>
      <c r="B6" s="14" t="s">
        <v>4</v>
      </c>
      <c r="C6" s="15">
        <v>50000</v>
      </c>
      <c r="D6" s="12"/>
      <c r="E6" s="18" t="s">
        <v>59</v>
      </c>
      <c r="F6" s="57">
        <v>4000</v>
      </c>
      <c r="G6" s="57">
        <v>3000</v>
      </c>
      <c r="H6" s="57">
        <v>1000</v>
      </c>
      <c r="I6" s="57">
        <v>0</v>
      </c>
      <c r="J6" s="57">
        <v>0</v>
      </c>
      <c r="K6" s="57">
        <v>0</v>
      </c>
      <c r="L6" s="57">
        <v>0</v>
      </c>
      <c r="M6" s="57">
        <v>0</v>
      </c>
      <c r="N6" s="57">
        <v>0</v>
      </c>
      <c r="O6" s="57">
        <v>0</v>
      </c>
      <c r="P6" s="57">
        <v>0</v>
      </c>
      <c r="Q6" s="57">
        <v>0</v>
      </c>
      <c r="R6" s="57">
        <v>0</v>
      </c>
      <c r="S6" s="57">
        <v>0</v>
      </c>
      <c r="T6" s="57">
        <v>0</v>
      </c>
      <c r="U6" s="57">
        <v>0</v>
      </c>
      <c r="V6" s="57">
        <v>0</v>
      </c>
      <c r="W6" s="57">
        <v>0</v>
      </c>
      <c r="X6" s="57">
        <v>0</v>
      </c>
      <c r="Y6" s="66">
        <v>0</v>
      </c>
      <c r="Z6" s="13"/>
    </row>
    <row r="7" spans="1:26" hidden="1">
      <c r="A7" s="11"/>
      <c r="B7" s="71"/>
      <c r="C7" s="72"/>
      <c r="D7" s="12"/>
      <c r="E7" s="71"/>
      <c r="F7" s="73">
        <f>+F4+C4+F10</f>
        <v>19200</v>
      </c>
      <c r="G7" s="73">
        <f>+F7+G4+G10</f>
        <v>30610</v>
      </c>
      <c r="H7" s="73">
        <f t="shared" ref="H7:Y7" si="0">+G7+H4+H10</f>
        <v>39240.5</v>
      </c>
      <c r="I7" s="73">
        <f t="shared" si="0"/>
        <v>46602.525000000001</v>
      </c>
      <c r="J7" s="73">
        <f t="shared" si="0"/>
        <v>57202.525000000001</v>
      </c>
      <c r="K7" s="73">
        <f t="shared" si="0"/>
        <v>63082.525000000001</v>
      </c>
      <c r="L7" s="73">
        <f t="shared" si="0"/>
        <v>69256.524999999994</v>
      </c>
      <c r="M7" s="73">
        <f t="shared" si="0"/>
        <v>75739.224999999991</v>
      </c>
      <c r="N7" s="73">
        <f t="shared" si="0"/>
        <v>82546.06</v>
      </c>
      <c r="O7" s="73">
        <f t="shared" si="0"/>
        <v>86546.06</v>
      </c>
      <c r="P7" s="73">
        <f t="shared" si="0"/>
        <v>90546.06</v>
      </c>
      <c r="Q7" s="73">
        <f t="shared" si="0"/>
        <v>95546.06</v>
      </c>
      <c r="R7" s="73">
        <f t="shared" si="0"/>
        <v>101046.06</v>
      </c>
      <c r="S7" s="73">
        <f t="shared" si="0"/>
        <v>107046.06</v>
      </c>
      <c r="T7" s="73">
        <f t="shared" si="0"/>
        <v>113046.06</v>
      </c>
      <c r="U7" s="73">
        <f t="shared" si="0"/>
        <v>119046.06</v>
      </c>
      <c r="V7" s="73">
        <f t="shared" si="0"/>
        <v>125046.06</v>
      </c>
      <c r="W7" s="73">
        <f t="shared" si="0"/>
        <v>131046.06</v>
      </c>
      <c r="X7" s="73">
        <f t="shared" si="0"/>
        <v>137046.06</v>
      </c>
      <c r="Y7" s="108">
        <f t="shared" si="0"/>
        <v>143046.06</v>
      </c>
      <c r="Z7" s="13"/>
    </row>
    <row r="8" spans="1:26" hidden="1">
      <c r="A8" s="11"/>
      <c r="B8" s="71"/>
      <c r="C8" s="72"/>
      <c r="D8" s="12"/>
      <c r="E8" s="71"/>
      <c r="F8" s="73">
        <f>+C6</f>
        <v>50000</v>
      </c>
      <c r="G8" s="73">
        <f>+B20+L20</f>
        <v>47851.861802234373</v>
      </c>
      <c r="H8" s="73">
        <f>+B21+L21</f>
        <v>45574.835312602801</v>
      </c>
      <c r="I8" s="73">
        <f>+$B22+$L22</f>
        <v>51161.187233593337</v>
      </c>
      <c r="J8" s="73">
        <f>+$B23+$L23</f>
        <v>47211.594714312312</v>
      </c>
      <c r="K8" s="73">
        <f>+$B24+$L24</f>
        <v>43011.115388319115</v>
      </c>
      <c r="L8" s="73">
        <f>+$B25+$L25</f>
        <v>38543.722259322152</v>
      </c>
      <c r="M8" s="73">
        <f>+$B26+$L26</f>
        <v>33792.358546100091</v>
      </c>
      <c r="N8" s="73">
        <f>+$B27+$L27</f>
        <v>28738.871123845463</v>
      </c>
      <c r="O8" s="73">
        <f>+$B28+$L28</f>
        <v>25315.06519351056</v>
      </c>
      <c r="P8" s="73">
        <f>+$B29+$L29</f>
        <v>21685.830907355561</v>
      </c>
      <c r="Q8" s="73">
        <f>+$B30+$L30</f>
        <v>17838.842564031263</v>
      </c>
      <c r="R8" s="73">
        <f>+$B31+$L31</f>
        <v>13761.034920107506</v>
      </c>
      <c r="S8" s="73">
        <f>+$B32+$L32</f>
        <v>9438.5588175483263</v>
      </c>
      <c r="T8" s="73">
        <f>+$B33+$L33</f>
        <v>4856.7341488355942</v>
      </c>
      <c r="U8" s="73">
        <f>+$B34+$L34</f>
        <v>9.8680175142362714E-11</v>
      </c>
      <c r="V8" s="73">
        <f>+$B35+$L35</f>
        <v>2.2737367544323206E-12</v>
      </c>
      <c r="W8" s="73">
        <f>+$B36+$L36</f>
        <v>2.2737367544323206E-12</v>
      </c>
      <c r="X8" s="73">
        <f>+$B37+$L37</f>
        <v>2.2737367544323206E-12</v>
      </c>
      <c r="Y8" s="108">
        <f>+$B38+$L38</f>
        <v>2.2737367544323206E-12</v>
      </c>
      <c r="Z8" s="13"/>
    </row>
    <row r="9" spans="1:26" ht="13.5" hidden="1" thickBot="1">
      <c r="A9" s="11"/>
      <c r="B9" s="71"/>
      <c r="C9" s="72"/>
      <c r="D9" s="12"/>
      <c r="E9" s="71"/>
      <c r="F9" s="73">
        <f>+F6</f>
        <v>4000</v>
      </c>
      <c r="G9" s="73">
        <f>+F9+G6</f>
        <v>7000</v>
      </c>
      <c r="H9" s="73">
        <f t="shared" ref="H9:Y9" si="1">+G9+H6</f>
        <v>8000</v>
      </c>
      <c r="I9" s="73">
        <f t="shared" si="1"/>
        <v>8000</v>
      </c>
      <c r="J9" s="73">
        <f t="shared" si="1"/>
        <v>8000</v>
      </c>
      <c r="K9" s="73">
        <f t="shared" si="1"/>
        <v>8000</v>
      </c>
      <c r="L9" s="73">
        <f t="shared" si="1"/>
        <v>8000</v>
      </c>
      <c r="M9" s="73">
        <f t="shared" si="1"/>
        <v>8000</v>
      </c>
      <c r="N9" s="73">
        <f t="shared" si="1"/>
        <v>8000</v>
      </c>
      <c r="O9" s="73">
        <f t="shared" si="1"/>
        <v>8000</v>
      </c>
      <c r="P9" s="73">
        <f t="shared" si="1"/>
        <v>8000</v>
      </c>
      <c r="Q9" s="73">
        <f t="shared" si="1"/>
        <v>8000</v>
      </c>
      <c r="R9" s="73">
        <f t="shared" si="1"/>
        <v>8000</v>
      </c>
      <c r="S9" s="73">
        <f t="shared" si="1"/>
        <v>8000</v>
      </c>
      <c r="T9" s="73">
        <f t="shared" si="1"/>
        <v>8000</v>
      </c>
      <c r="U9" s="73">
        <f t="shared" si="1"/>
        <v>8000</v>
      </c>
      <c r="V9" s="73">
        <f t="shared" si="1"/>
        <v>8000</v>
      </c>
      <c r="W9" s="73">
        <f t="shared" si="1"/>
        <v>8000</v>
      </c>
      <c r="X9" s="73">
        <f t="shared" si="1"/>
        <v>8000</v>
      </c>
      <c r="Y9" s="108">
        <f t="shared" si="1"/>
        <v>8000</v>
      </c>
      <c r="Z9" s="13"/>
    </row>
    <row r="10" spans="1:26" ht="13.5" thickBot="1">
      <c r="A10" s="11"/>
      <c r="B10" s="11"/>
      <c r="C10" s="13"/>
      <c r="D10" s="12"/>
      <c r="E10" s="44" t="s">
        <v>60</v>
      </c>
      <c r="F10" s="107">
        <f>+'Plan inversión'!$D$18*'Plan inversión'!D26</f>
        <v>4200</v>
      </c>
      <c r="G10" s="107">
        <f>+'Plan inversión'!$D$18*'Plan inversión'!E26</f>
        <v>4410</v>
      </c>
      <c r="H10" s="107">
        <f>+'Plan inversión'!$D$18*'Plan inversión'!F26</f>
        <v>4630.5</v>
      </c>
      <c r="I10" s="107">
        <f>+'Plan inversión'!$D$18*'Plan inversión'!G26</f>
        <v>4862.0249999999996</v>
      </c>
      <c r="J10" s="107">
        <f>+'Plan inversión'!$D$18*'Plan inversión'!H26</f>
        <v>5600</v>
      </c>
      <c r="K10" s="107">
        <f>+'Plan inversión'!$D$18*'Plan inversión'!I26</f>
        <v>5880</v>
      </c>
      <c r="L10" s="107">
        <f>+'Plan inversión'!$D$18*'Plan inversión'!J26</f>
        <v>6174</v>
      </c>
      <c r="M10" s="107">
        <f>+'Plan inversión'!$D$18*'Plan inversión'!K26</f>
        <v>6482.7</v>
      </c>
      <c r="N10" s="107">
        <f>+'Plan inversión'!$D$18*'Plan inversión'!L26</f>
        <v>6806.835</v>
      </c>
      <c r="O10" s="107">
        <v>4000</v>
      </c>
      <c r="P10" s="107">
        <v>4000</v>
      </c>
      <c r="Q10" s="107">
        <v>5000</v>
      </c>
      <c r="R10" s="107">
        <v>5500</v>
      </c>
      <c r="S10" s="107">
        <v>6000</v>
      </c>
      <c r="T10" s="107">
        <v>6000</v>
      </c>
      <c r="U10" s="107">
        <v>6000</v>
      </c>
      <c r="V10" s="107">
        <v>6000</v>
      </c>
      <c r="W10" s="107">
        <v>6000</v>
      </c>
      <c r="X10" s="107">
        <v>6000</v>
      </c>
      <c r="Y10" s="109">
        <v>6000</v>
      </c>
      <c r="Z10" s="13"/>
    </row>
    <row r="11" spans="1:26">
      <c r="A11" s="11"/>
      <c r="B11" s="14" t="s">
        <v>17</v>
      </c>
      <c r="C11" s="31">
        <v>0.08</v>
      </c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3"/>
    </row>
    <row r="12" spans="1:26">
      <c r="A12" s="11"/>
      <c r="B12" s="11"/>
      <c r="C12" s="13"/>
      <c r="D12" s="12"/>
      <c r="E12" s="12"/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3"/>
    </row>
    <row r="13" spans="1:26">
      <c r="A13" s="11"/>
      <c r="B13" s="14" t="s">
        <v>5</v>
      </c>
      <c r="C13" s="31">
        <v>0.06</v>
      </c>
      <c r="D13" s="12"/>
      <c r="E13" s="12"/>
      <c r="F13" s="104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3"/>
    </row>
    <row r="14" spans="1:26">
      <c r="A14" s="11"/>
      <c r="B14" s="11"/>
      <c r="C14" s="13"/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3"/>
    </row>
    <row r="15" spans="1:26" ht="13.5" thickBot="1">
      <c r="A15" s="11"/>
      <c r="B15" s="18" t="s">
        <v>6</v>
      </c>
      <c r="C15" s="32">
        <v>15</v>
      </c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3"/>
    </row>
    <row r="16" spans="1:26" ht="13.5" thickBot="1">
      <c r="A16" s="11"/>
      <c r="B16" s="12"/>
      <c r="C16" s="12"/>
      <c r="D16" s="12"/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3"/>
    </row>
    <row r="17" spans="1:26" ht="15.75" customHeight="1" thickBot="1">
      <c r="A17" s="152" t="s">
        <v>22</v>
      </c>
      <c r="B17" s="153"/>
      <c r="C17" s="153"/>
      <c r="D17" s="153"/>
      <c r="E17" s="154"/>
      <c r="F17" s="12"/>
      <c r="G17" s="33"/>
      <c r="H17" s="33"/>
      <c r="I17" s="33"/>
      <c r="J17" s="33"/>
      <c r="K17" s="144" t="s">
        <v>26</v>
      </c>
      <c r="L17" s="145"/>
      <c r="M17" s="145"/>
      <c r="N17" s="145"/>
      <c r="O17" s="146"/>
      <c r="P17" s="12"/>
      <c r="Q17" s="12"/>
      <c r="R17" s="12"/>
      <c r="S17" s="12"/>
      <c r="T17" s="12"/>
      <c r="U17" s="12"/>
      <c r="V17" s="12"/>
      <c r="W17" s="12"/>
      <c r="X17" s="12"/>
      <c r="Y17" s="12"/>
      <c r="Z17" s="13"/>
    </row>
    <row r="18" spans="1:26">
      <c r="A18" s="34"/>
      <c r="B18" s="22" t="s">
        <v>11</v>
      </c>
      <c r="C18" s="22" t="s">
        <v>9</v>
      </c>
      <c r="D18" s="22" t="s">
        <v>27</v>
      </c>
      <c r="E18" s="23" t="s">
        <v>10</v>
      </c>
      <c r="F18" s="12"/>
      <c r="G18" s="150" t="s">
        <v>28</v>
      </c>
      <c r="H18" s="151"/>
      <c r="I18" s="35">
        <f>B19</f>
        <v>50000</v>
      </c>
      <c r="J18" s="12"/>
      <c r="K18" s="11"/>
      <c r="L18" s="22" t="s">
        <v>11</v>
      </c>
      <c r="M18" s="22" t="s">
        <v>9</v>
      </c>
      <c r="N18" s="22" t="s">
        <v>27</v>
      </c>
      <c r="O18" s="23" t="s">
        <v>10</v>
      </c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3"/>
    </row>
    <row r="19" spans="1:26">
      <c r="A19" s="14" t="s">
        <v>51</v>
      </c>
      <c r="B19" s="78">
        <f>'Plan financiación'!C6</f>
        <v>50000</v>
      </c>
      <c r="C19" s="78"/>
      <c r="D19" s="78"/>
      <c r="E19" s="79"/>
      <c r="F19" s="12"/>
      <c r="G19" s="134" t="s">
        <v>15</v>
      </c>
      <c r="H19" s="135"/>
      <c r="I19" s="36">
        <f>'Plan financiación'!C15</f>
        <v>15</v>
      </c>
      <c r="J19" s="12"/>
      <c r="K19" s="14" t="s">
        <v>51</v>
      </c>
      <c r="L19" s="37" t="str">
        <f>IF($I$28&lt;1,$I$27,"0")</f>
        <v>0</v>
      </c>
      <c r="M19" s="82"/>
      <c r="N19" s="82"/>
      <c r="O19" s="83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3"/>
    </row>
    <row r="20" spans="1:26">
      <c r="A20" s="14" t="str">
        <f>IF('Plan financiación'!$C$15&gt;0,"Año 1","")</f>
        <v>Año 1</v>
      </c>
      <c r="B20" s="78">
        <f>IF('Plan financiación'!$C$15&gt;0,B19-D20,"0")</f>
        <v>47851.861802234373</v>
      </c>
      <c r="C20" s="78">
        <f>IF('Plan financiación'!$C$15&gt;0,B19*'Plan financiación'!$C$13,"0")</f>
        <v>3000</v>
      </c>
      <c r="D20" s="78">
        <f>IF('Plan financiación'!$C$15&gt;0,E20-C20,"")</f>
        <v>2148.138197765631</v>
      </c>
      <c r="E20" s="79">
        <f>IF('Plan financiación'!$C$15&gt;0,$I$24,"0")</f>
        <v>5148.138197765631</v>
      </c>
      <c r="F20" s="12"/>
      <c r="G20" s="129" t="s">
        <v>47</v>
      </c>
      <c r="H20" s="130"/>
      <c r="I20" s="62">
        <v>12</v>
      </c>
      <c r="J20" s="12"/>
      <c r="K20" s="14" t="str">
        <f>IF($I$28+$I$29&gt;0,"Año 1","")</f>
        <v>Año 1</v>
      </c>
      <c r="L20" s="37" t="str">
        <f>IF($I$28=1,$I$27,IF($I$28&lt;1,L19-N20,"0"))</f>
        <v>0</v>
      </c>
      <c r="M20" s="37">
        <f>IF($I$28+$I$29&gt;0,L19*$I$30,"0")</f>
        <v>0</v>
      </c>
      <c r="N20" s="37">
        <f>IF($I$28+$I$29&gt;0,O20-M20,"0")</f>
        <v>0</v>
      </c>
      <c r="O20" s="84" t="b">
        <f>IF($I$28&lt;1,IF(($I$28+$I$29)&lt;1,"0",$I$33))</f>
        <v>0</v>
      </c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3"/>
    </row>
    <row r="21" spans="1:26" ht="13.5" thickBot="1">
      <c r="A21" s="14" t="str">
        <f>IF('Plan financiación'!$C$15&gt;1,"Año 2","")</f>
        <v>Año 2</v>
      </c>
      <c r="B21" s="78">
        <f>IF('Plan financiación'!$C$15&gt;1,B20-D21,"0")</f>
        <v>45574.835312602801</v>
      </c>
      <c r="C21" s="78">
        <f>IF('Plan financiación'!$C$15&gt;1,B20*'Plan financiación'!$C$13,"0")</f>
        <v>2871.1117081340622</v>
      </c>
      <c r="D21" s="78">
        <f>IF('Plan financiación'!$C$15&gt;1,E21-C21,"")</f>
        <v>2277.0264896315689</v>
      </c>
      <c r="E21" s="79">
        <f>IF('Plan financiación'!$C$15&gt;1,$I$24,"0")</f>
        <v>5148.138197765631</v>
      </c>
      <c r="F21" s="12"/>
      <c r="G21" s="142" t="s">
        <v>16</v>
      </c>
      <c r="H21" s="143"/>
      <c r="I21" s="98">
        <f>'Plan financiación'!C13</f>
        <v>0.06</v>
      </c>
      <c r="J21" s="12"/>
      <c r="K21" s="14" t="str">
        <f>IF($I$28+$I$29&gt;1,"Año 2","")</f>
        <v>Año 2</v>
      </c>
      <c r="L21" s="37" t="str">
        <f>IF($I$28=2,$I$27,IF($I$28&lt;2,L20-N21,"0"))</f>
        <v>0</v>
      </c>
      <c r="M21" s="37">
        <f>IF($I$28+$I$29&gt;1,L20*$I$30,"0")</f>
        <v>0</v>
      </c>
      <c r="N21" s="37">
        <f>IF($I$28+$I$29&gt;1,O21-M21,"0")</f>
        <v>0</v>
      </c>
      <c r="O21" s="84" t="b">
        <f>IF($I$28&lt;2,IF(($I$28+$I$29)&lt;2,"0",$I$33))</f>
        <v>0</v>
      </c>
      <c r="P21" s="12"/>
      <c r="Q21" s="12"/>
      <c r="R21" s="12"/>
      <c r="S21" s="12"/>
      <c r="T21" s="12"/>
      <c r="U21" s="12"/>
      <c r="V21" s="12"/>
      <c r="W21" s="12"/>
      <c r="X21" s="12"/>
      <c r="Y21" s="12"/>
      <c r="Z21" s="13"/>
    </row>
    <row r="22" spans="1:26">
      <c r="A22" s="14" t="str">
        <f>IF('Plan financiación'!$C$15&gt;2,"Año 3","")</f>
        <v>Año 3</v>
      </c>
      <c r="B22" s="78">
        <f>IF('Plan financiación'!$C$15&gt;2,B21-D22,"0")</f>
        <v>43161.187233593337</v>
      </c>
      <c r="C22" s="78">
        <f>IF('Plan financiación'!$C$15&gt;2,B21*'Plan financiación'!$C$13,"0")</f>
        <v>2734.4901187561682</v>
      </c>
      <c r="D22" s="78">
        <f>IF('Plan financiación'!$C$15&gt;2,E22-C22,"")</f>
        <v>2413.6480790094629</v>
      </c>
      <c r="E22" s="79">
        <f>IF('Plan financiación'!$C$15&gt;2,$I$24,"0")</f>
        <v>5148.138197765631</v>
      </c>
      <c r="F22" s="12"/>
      <c r="G22" s="12"/>
      <c r="H22" s="12"/>
      <c r="I22" s="12"/>
      <c r="J22" s="12"/>
      <c r="K22" s="14" t="str">
        <f>IF($I$28+$I$29&gt;2,"Año 3","")</f>
        <v>Año 3</v>
      </c>
      <c r="L22" s="37">
        <f>IF($I$28=3,$I$27,IF($I$28&lt;3,L21-N22,"0"))</f>
        <v>8000</v>
      </c>
      <c r="M22" s="37">
        <f>IF($I$28+$I$29&gt;2,L21*$I$30,"0")</f>
        <v>0</v>
      </c>
      <c r="N22" s="37">
        <f>IF($I$28+$I$29&gt;2,O22-M22,"0")</f>
        <v>0</v>
      </c>
      <c r="O22" s="84" t="b">
        <f>IF($I$28&lt;3,IF(($I$28+$I$29)&lt;3,"0",$I$33))</f>
        <v>0</v>
      </c>
      <c r="P22" s="12"/>
      <c r="Q22" s="12"/>
      <c r="R22" s="12"/>
      <c r="S22" s="12"/>
      <c r="T22" s="12"/>
      <c r="U22" s="12"/>
      <c r="V22" s="12"/>
      <c r="W22" s="12"/>
      <c r="X22" s="12"/>
      <c r="Y22" s="12"/>
      <c r="Z22" s="13"/>
    </row>
    <row r="23" spans="1:26" ht="13.5" thickBot="1">
      <c r="A23" s="14" t="str">
        <f>IF('Plan financiación'!$C$15&gt;3,"Año 4","")</f>
        <v>Año 4</v>
      </c>
      <c r="B23" s="78">
        <f>IF('Plan financiación'!$C$15&gt;3,B22-D23,"0")</f>
        <v>40602.720269843303</v>
      </c>
      <c r="C23" s="78">
        <f>IF('Plan financiación'!$C$15&gt;3,B22*'Plan financiación'!$C$13,"0")</f>
        <v>2589.6712340156</v>
      </c>
      <c r="D23" s="78">
        <f>IF('Plan financiación'!$C$15&gt;3,E23-C23,"")</f>
        <v>2558.466963750031</v>
      </c>
      <c r="E23" s="79">
        <f>IF('Plan financiación'!$C$15&gt;3,$I$24,"0")</f>
        <v>5148.138197765631</v>
      </c>
      <c r="F23" s="12"/>
      <c r="G23" s="12"/>
      <c r="H23" s="12"/>
      <c r="I23" s="12"/>
      <c r="J23" s="12"/>
      <c r="K23" s="14" t="str">
        <f>IF($I$28+$I$29&gt;3,"Año 4","")</f>
        <v>Año 4</v>
      </c>
      <c r="L23" s="37">
        <f>IF($I$28=4,$I$27,IF($I$28&lt;4,L22-N23,"0"))</f>
        <v>6608.8744444690074</v>
      </c>
      <c r="M23" s="37">
        <f>IF($I$28+$I$29&gt;3,L22*$I$30,"0")</f>
        <v>560</v>
      </c>
      <c r="N23" s="37">
        <f>IF($I$28+$I$29&gt;3,O23-M23,"0")</f>
        <v>1391.1255555309922</v>
      </c>
      <c r="O23" s="84">
        <f>IF($I$28&lt;4,IF(($I$28+$I$29)&lt;4,"0",$I$33))</f>
        <v>1951.1255555309922</v>
      </c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3"/>
    </row>
    <row r="24" spans="1:26" ht="13.5" thickBot="1">
      <c r="A24" s="14" t="str">
        <f>IF('Plan financiación'!$C$15&gt;4,"Año 5","")</f>
        <v>Año 5</v>
      </c>
      <c r="B24" s="78">
        <f>IF('Plan financiación'!$C$15&gt;4,B23-D24,"0")</f>
        <v>37890.74528826827</v>
      </c>
      <c r="C24" s="78">
        <f>IF('Plan financiación'!$C$15&gt;4,B23*'Plan financiación'!$C$13,"0")</f>
        <v>2436.1632161905982</v>
      </c>
      <c r="D24" s="78">
        <f>IF('Plan financiación'!$C$15&gt;4,E24-C24,"")</f>
        <v>2711.9749815750329</v>
      </c>
      <c r="E24" s="79">
        <f>IF('Plan financiación'!$C$15&gt;4,$I$24,"0")</f>
        <v>5148.138197765631</v>
      </c>
      <c r="F24" s="12"/>
      <c r="G24" s="136" t="s">
        <v>10</v>
      </c>
      <c r="H24" s="147"/>
      <c r="I24" s="55">
        <f>IF(I18&lt;&gt;0,-PMT(I21/(I20/12),I19,I18,0,0))</f>
        <v>5148.138197765631</v>
      </c>
      <c r="J24" s="12"/>
      <c r="K24" s="14" t="str">
        <f>IF($I$28+$I$29&gt;4,"Año 5","")</f>
        <v>Año 5</v>
      </c>
      <c r="L24" s="37">
        <f>IF($I$28=5,$I$27,IF($I$28&lt;5,L23-N24,"0"))</f>
        <v>5120.3701000508463</v>
      </c>
      <c r="M24" s="37">
        <f>IF($I$28+$I$29&gt;4,L23*$I$30,"0")</f>
        <v>462.62121111283057</v>
      </c>
      <c r="N24" s="37">
        <f>IF($I$28+$I$29&gt;4,O24-M24,"0")</f>
        <v>1488.5043444181615</v>
      </c>
      <c r="O24" s="84">
        <f>IF($I$28&lt;5,IF(($I$28+$I$29)&lt;5,"0",$I$33))</f>
        <v>1951.1255555309922</v>
      </c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3"/>
    </row>
    <row r="25" spans="1:26">
      <c r="A25" s="14" t="str">
        <f>IF('Plan financiación'!$C$15&gt;5,"Año 6","")</f>
        <v>Año 6</v>
      </c>
      <c r="B25" s="78">
        <f>IF('Plan financiación'!$C$15&gt;5,B24-D25,"0")</f>
        <v>35016.051807798736</v>
      </c>
      <c r="C25" s="78">
        <f>IF('Plan financiación'!$C$15&gt;5,B24*'Plan financiación'!$C$13,"0")</f>
        <v>2273.4447172960963</v>
      </c>
      <c r="D25" s="78">
        <f>IF('Plan financiación'!$C$15&gt;5,E25-C25,"")</f>
        <v>2874.6934804695347</v>
      </c>
      <c r="E25" s="79">
        <f>IF('Plan financiación'!$C$15&gt;5,$I$24,"0")</f>
        <v>5148.138197765631</v>
      </c>
      <c r="F25" s="12"/>
      <c r="G25" s="12"/>
      <c r="H25" s="12"/>
      <c r="I25" s="12"/>
      <c r="J25" s="12"/>
      <c r="K25" s="14" t="str">
        <f>IF($I$28+$I$29&gt;5,"Año 6","")</f>
        <v>Año 6</v>
      </c>
      <c r="L25" s="37">
        <f>IF($I$28=6,$I$27,IF($I$28&lt;6,L24-N25,"0"))</f>
        <v>3527.6704515234132</v>
      </c>
      <c r="M25" s="37">
        <f>IF($I$28+$I$29&gt;5,L24*$I$30,"0")</f>
        <v>358.4259070035593</v>
      </c>
      <c r="N25" s="37">
        <f>IF($I$28+$I$29&gt;5,O25-M25,"0")</f>
        <v>1592.6996485274328</v>
      </c>
      <c r="O25" s="84">
        <f>IF($I$28&lt;6,IF(($I$28+$I$29)&lt;6,"0",$I$33))</f>
        <v>1951.1255555309922</v>
      </c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3"/>
    </row>
    <row r="26" spans="1:26" ht="13.5" thickBot="1">
      <c r="A26" s="14" t="str">
        <f>IF('Plan financiación'!$C$15&gt;6,"Año 7","")</f>
        <v>Año 7</v>
      </c>
      <c r="B26" s="78">
        <f>IF('Plan financiación'!$C$15&gt;6,B25-D26,"0")</f>
        <v>31968.876718501029</v>
      </c>
      <c r="C26" s="78">
        <f>IF('Plan financiación'!$C$15&gt;6,B25*'Plan financiación'!$C$13,"0")</f>
        <v>2100.963108467924</v>
      </c>
      <c r="D26" s="78">
        <f>IF('Plan financiación'!$C$15&gt;6,E26-C26,"")</f>
        <v>3047.175089297707</v>
      </c>
      <c r="E26" s="79">
        <f>IF('Plan financiación'!$C$15&gt;6,$I$24,"0")</f>
        <v>5148.138197765631</v>
      </c>
      <c r="F26" s="12"/>
      <c r="G26" s="12"/>
      <c r="H26" s="12"/>
      <c r="I26" s="12"/>
      <c r="J26" s="12"/>
      <c r="K26" s="14" t="str">
        <f>IF($I$28+$I$29&gt;6,"Año 7","")</f>
        <v>Año 7</v>
      </c>
      <c r="L26" s="37">
        <f>IF($I$28=7,$I$27,IF($I$28&lt;7,L25-N26,"0"))</f>
        <v>1823.4818275990601</v>
      </c>
      <c r="M26" s="37">
        <f>IF($I$28+$I$29&gt;6,L25*$I$30,"0")</f>
        <v>246.93693160663895</v>
      </c>
      <c r="N26" s="37">
        <f>IF($I$28+$I$29&gt;6,O26-M26,"0")</f>
        <v>1704.1886239243531</v>
      </c>
      <c r="O26" s="84">
        <f>IF($I$28&lt;7,IF(($I$28+$I$29)&lt;7,"0",$I$33))</f>
        <v>1951.1255555309922</v>
      </c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3"/>
    </row>
    <row r="27" spans="1:26">
      <c r="A27" s="14" t="str">
        <f>IF('Plan financiación'!$C$15&gt;7,"Año 8","")</f>
        <v>Año 8</v>
      </c>
      <c r="B27" s="78">
        <f>IF('Plan financiación'!$C$15&gt;7,B26-D27,"0")</f>
        <v>28738.87112384546</v>
      </c>
      <c r="C27" s="78">
        <f>IF('Plan financiación'!$C$15&gt;7,B26*'Plan financiación'!$C$13,"0")</f>
        <v>1918.1326031100616</v>
      </c>
      <c r="D27" s="78">
        <f>IF('Plan financiación'!$C$15&gt;7,E27-C27,"")</f>
        <v>3230.0055946555694</v>
      </c>
      <c r="E27" s="79">
        <f>IF('Plan financiación'!$C$15&gt;7,$I$24,"0")</f>
        <v>5148.138197765631</v>
      </c>
      <c r="F27" s="12"/>
      <c r="G27" s="150" t="s">
        <v>29</v>
      </c>
      <c r="H27" s="151"/>
      <c r="I27" s="38">
        <v>8000</v>
      </c>
      <c r="J27" s="12"/>
      <c r="K27" s="14" t="str">
        <f>IF($I$28+$I$29&gt;7,"Año 8","")</f>
        <v>Año 8</v>
      </c>
      <c r="L27" s="37">
        <f>IF($I$28=8,$I$27,IF($I$28&lt;8,L26-N27,"0"))</f>
        <v>2.2737367544323206E-12</v>
      </c>
      <c r="M27" s="37">
        <f>IF($I$28+$I$29&gt;7,L26*$I$30,"0")</f>
        <v>127.64372793193422</v>
      </c>
      <c r="N27" s="37">
        <f>IF($I$28+$I$29&gt;7,O27-M27,"0")</f>
        <v>1823.4818275990579</v>
      </c>
      <c r="O27" s="84">
        <f>IF($I$28&lt;8,IF(($I$28+$I$29)&lt;8,"0",$I$33))</f>
        <v>1951.1255555309922</v>
      </c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3"/>
    </row>
    <row r="28" spans="1:26">
      <c r="A28" s="14" t="str">
        <f>IF('Plan financiación'!$C$15&gt;8,"Año 9","")</f>
        <v>Año 9</v>
      </c>
      <c r="B28" s="78">
        <f>IF('Plan financiación'!$C$15&gt;8,B27-D28,"0")</f>
        <v>25315.065193510556</v>
      </c>
      <c r="C28" s="78">
        <f>IF('Plan financiación'!$C$15&gt;8,B27*'Plan financiación'!$C$13,"0")</f>
        <v>1724.3322674307276</v>
      </c>
      <c r="D28" s="78">
        <f>IF('Plan financiación'!$C$15&gt;8,E28-C28,"")</f>
        <v>3423.8059303349037</v>
      </c>
      <c r="E28" s="79">
        <f>IF('Plan financiación'!$C$15&gt;8,$I$24,"0")</f>
        <v>5148.138197765631</v>
      </c>
      <c r="F28" s="12"/>
      <c r="G28" s="134" t="s">
        <v>30</v>
      </c>
      <c r="H28" s="135"/>
      <c r="I28" s="24">
        <v>3</v>
      </c>
      <c r="J28" s="12"/>
      <c r="K28" s="14" t="str">
        <f>IF($I$28+$I$29&gt;8,"Año 9","")</f>
        <v/>
      </c>
      <c r="L28" s="37">
        <f>IF($I$28=9,$I$27,IF($I$28&lt;9,L27-N28,"0"))</f>
        <v>2.2737367544323206E-12</v>
      </c>
      <c r="M28" s="37" t="str">
        <f>IF($I$28+$I$29&gt;8,L27*$I$30,"0")</f>
        <v>0</v>
      </c>
      <c r="N28" s="37" t="str">
        <f>IF($I$28+$I$29&gt;8,O28-M28,"0")</f>
        <v>0</v>
      </c>
      <c r="O28" s="84" t="str">
        <f>IF($I$28&lt;9,IF(($I$28+$I$29)&lt;9,"0",$I$33))</f>
        <v>0</v>
      </c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3"/>
    </row>
    <row r="29" spans="1:26">
      <c r="A29" s="14" t="str">
        <f>IF('Plan financiación'!$C$15&gt;9,"Año 10","")</f>
        <v>Año 10</v>
      </c>
      <c r="B29" s="78">
        <f>IF('Plan financiación'!$C$15&gt;9,B28-D29,"0")</f>
        <v>21685.830907355557</v>
      </c>
      <c r="C29" s="78">
        <f>IF('Plan financiación'!$C$15&gt;9,B28*'Plan financiación'!$C$13,"0")</f>
        <v>1518.9039116106333</v>
      </c>
      <c r="D29" s="78">
        <f>IF('Plan financiación'!$C$15&gt;9,E29-C29,"")</f>
        <v>3629.2342861549978</v>
      </c>
      <c r="E29" s="79">
        <f>IF('Plan financiación'!$C$15&gt;9,$I$24,"0")</f>
        <v>5148.138197765631</v>
      </c>
      <c r="F29" s="12"/>
      <c r="G29" s="129" t="s">
        <v>31</v>
      </c>
      <c r="H29" s="130"/>
      <c r="I29" s="24">
        <v>5</v>
      </c>
      <c r="J29" s="12"/>
      <c r="K29" s="14" t="str">
        <f>IF($I$28+$I$29&gt;9,"Año 10","")</f>
        <v/>
      </c>
      <c r="L29" s="37">
        <f>IF($I$28=10,$I$27,IF($I$28&lt;10,L28-N29,"0"))</f>
        <v>2.2737367544323206E-12</v>
      </c>
      <c r="M29" s="37" t="str">
        <f>IF($I$28+$I$29&gt;9,L28*$I$30,"0")</f>
        <v>0</v>
      </c>
      <c r="N29" s="37" t="str">
        <f>IF($I$28+$I$29&gt;9,O29-M29,"0")</f>
        <v>0</v>
      </c>
      <c r="O29" s="84" t="str">
        <f>IF($I$28&lt;10,IF(($I$28+$I$29)&lt;10,"0",$I$33))</f>
        <v>0</v>
      </c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3"/>
    </row>
    <row r="30" spans="1:26" ht="13.5" thickBot="1">
      <c r="A30" s="14" t="str">
        <f>IF('Plan financiación'!$C$15&gt;10,"Año 11","")</f>
        <v>Año 11</v>
      </c>
      <c r="B30" s="78">
        <f>IF('Plan financiación'!$C$15&gt;10,B29-D30,"0")</f>
        <v>17838.84256403126</v>
      </c>
      <c r="C30" s="78">
        <f>IF('Plan financiación'!$C$15&gt;10,B29*'Plan financiación'!$C$13,"0")</f>
        <v>1301.1498544413334</v>
      </c>
      <c r="D30" s="78">
        <f>IF('Plan financiación'!$C$15&gt;10,E30-C30,"")</f>
        <v>3846.9883433242976</v>
      </c>
      <c r="E30" s="79">
        <f>IF('Plan financiación'!$C$15&gt;10,$I$24,"0")</f>
        <v>5148.138197765631</v>
      </c>
      <c r="F30" s="12"/>
      <c r="G30" s="142" t="s">
        <v>16</v>
      </c>
      <c r="H30" s="143"/>
      <c r="I30" s="39">
        <v>7.0000000000000007E-2</v>
      </c>
      <c r="J30" s="12"/>
      <c r="K30" s="14" t="str">
        <f>IF($I$28+$I$29&gt;10,"Año 11","")</f>
        <v/>
      </c>
      <c r="L30" s="37">
        <f>IF($I$28=11,$I$27,IF($I$28&lt;11,L29-N30,"0"))</f>
        <v>2.2737367544323206E-12</v>
      </c>
      <c r="M30" s="37" t="str">
        <f>IF($I$28+$I$29&gt;10,L29*$I$30,"0")</f>
        <v>0</v>
      </c>
      <c r="N30" s="37" t="str">
        <f>IF($I$28+$I$29&gt;10,O30-M30,"0")</f>
        <v>0</v>
      </c>
      <c r="O30" s="84" t="str">
        <f>IF($I$28&lt;11,IF(($I$28+$I$29)&lt;11,"0",$I$33))</f>
        <v>0</v>
      </c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3"/>
    </row>
    <row r="31" spans="1:26">
      <c r="A31" s="14" t="str">
        <f>IF('Plan financiación'!$C$15&gt;11,"Año 12","")</f>
        <v>Año 12</v>
      </c>
      <c r="B31" s="78">
        <f>IF('Plan financiación'!$C$15&gt;11,B30-D31,"0")</f>
        <v>13761.034920107504</v>
      </c>
      <c r="C31" s="78">
        <f>IF('Plan financiación'!$C$15&gt;11,B30*'Plan financiación'!$C$13,"0")</f>
        <v>1070.3305538418756</v>
      </c>
      <c r="D31" s="78">
        <f>IF('Plan financiación'!$C$15&gt;11,E31-C31,"")</f>
        <v>4077.8076439237557</v>
      </c>
      <c r="E31" s="79">
        <f>IF('Plan financiación'!$C$15&gt;11,$I$24,"0")</f>
        <v>5148.138197765631</v>
      </c>
      <c r="F31" s="12"/>
      <c r="G31" s="12"/>
      <c r="H31" s="12"/>
      <c r="I31" s="12"/>
      <c r="J31" s="12"/>
      <c r="K31" s="14" t="str">
        <f>IF($I$28+$I$29&gt;11,"Año 12","")</f>
        <v/>
      </c>
      <c r="L31" s="37">
        <f>IF($I$28=12,$I$27,IF($I$28&lt;12,L30-N31,"0"))</f>
        <v>2.2737367544323206E-12</v>
      </c>
      <c r="M31" s="37" t="str">
        <f>IF($I$28+$I$29&gt;11,L30*$I$30,"0")</f>
        <v>0</v>
      </c>
      <c r="N31" s="37" t="str">
        <f>IF($I$28+$I$29&gt;11,O31-M31,"0")</f>
        <v>0</v>
      </c>
      <c r="O31" s="84" t="str">
        <f>IF($I$28&lt;12,IF(($I$28+$I$29)&lt;12,"0",$I$33))</f>
        <v>0</v>
      </c>
      <c r="P31" s="12"/>
      <c r="Q31" s="12"/>
      <c r="R31" s="12"/>
      <c r="S31" s="12"/>
      <c r="T31" s="12"/>
      <c r="U31" s="12"/>
      <c r="V31" s="12"/>
      <c r="W31" s="12"/>
      <c r="X31" s="12"/>
      <c r="Y31" s="12"/>
      <c r="Z31" s="13"/>
    </row>
    <row r="32" spans="1:26" ht="13.5" thickBot="1">
      <c r="A32" s="14" t="str">
        <f>IF('Plan financiación'!$C$15&gt;12,"Año 13","")</f>
        <v>Año 13</v>
      </c>
      <c r="B32" s="78">
        <f>IF('Plan financiación'!$C$15&gt;12,B31-D32,"0")</f>
        <v>9438.5588175483244</v>
      </c>
      <c r="C32" s="78">
        <f>IF('Plan financiación'!$C$15&gt;12,B31*'Plan financiación'!$C$13,"0")</f>
        <v>825.6620952064502</v>
      </c>
      <c r="D32" s="78">
        <f>IF('Plan financiación'!$C$15&gt;12,E32-C32,"")</f>
        <v>4322.4761025591806</v>
      </c>
      <c r="E32" s="79">
        <f>IF('Plan financiación'!$C$15&gt;12,$I$24,"0")</f>
        <v>5148.138197765631</v>
      </c>
      <c r="F32" s="12"/>
      <c r="G32" s="12"/>
      <c r="H32" s="12"/>
      <c r="I32" s="12"/>
      <c r="J32" s="12"/>
      <c r="K32" s="14" t="str">
        <f>IF($I$28+$I$29&gt;12,"Año 13","")</f>
        <v/>
      </c>
      <c r="L32" s="37">
        <f>IF($I$28=13,$I$27,IF($I$28&lt;13,L31-N32,"0"))</f>
        <v>2.2737367544323206E-12</v>
      </c>
      <c r="M32" s="37" t="str">
        <f>IF($I$28+$I$29&gt;12,L31*$I$30,"0")</f>
        <v>0</v>
      </c>
      <c r="N32" s="37" t="str">
        <f>IF($I$28+$I$29&gt;12,O32-M32,"0")</f>
        <v>0</v>
      </c>
      <c r="O32" s="84" t="str">
        <f>IF($I$28&lt;13,IF(($I$28+$I$29)&lt;13,"0",$I$33))</f>
        <v>0</v>
      </c>
      <c r="P32" s="12"/>
      <c r="Q32" s="12"/>
      <c r="R32" s="12"/>
      <c r="S32" s="12"/>
      <c r="T32" s="12"/>
      <c r="U32" s="12"/>
      <c r="V32" s="12"/>
      <c r="W32" s="12"/>
      <c r="X32" s="12"/>
      <c r="Y32" s="12"/>
      <c r="Z32" s="13"/>
    </row>
    <row r="33" spans="1:26" ht="13.5" thickBot="1">
      <c r="A33" s="14" t="str">
        <f>IF('Plan financiación'!$C$15&gt;13,"Año 14","")</f>
        <v>Año 14</v>
      </c>
      <c r="B33" s="78">
        <f>IF('Plan financiación'!$C$15&gt;13,B32-D33,"0")</f>
        <v>4856.7341488355924</v>
      </c>
      <c r="C33" s="78">
        <f>IF('Plan financiación'!$C$15&gt;13,B32*'Plan financiación'!$C$13,"0")</f>
        <v>566.31352905289941</v>
      </c>
      <c r="D33" s="78">
        <f>IF('Plan financiación'!$C$15&gt;13,E33-C33,"")</f>
        <v>4581.8246687127321</v>
      </c>
      <c r="E33" s="79">
        <f>IF('Plan financiación'!$C$15&gt;13,$I$24,"0")</f>
        <v>5148.138197765631</v>
      </c>
      <c r="F33" s="12"/>
      <c r="G33" s="136" t="s">
        <v>10</v>
      </c>
      <c r="H33" s="147"/>
      <c r="I33" s="55">
        <f>IF(I27&lt;&gt;0,-PMT(I30,I29,I27,0,0))</f>
        <v>1951.1255555309922</v>
      </c>
      <c r="J33" s="12"/>
      <c r="K33" s="14" t="str">
        <f>IF($I$28+$I$29&gt;13,"Año 14","")</f>
        <v/>
      </c>
      <c r="L33" s="37">
        <f>IF($I$28=14,$I$27,IF($I$28&lt;14,L32-N33,"0"))</f>
        <v>2.2737367544323206E-12</v>
      </c>
      <c r="M33" s="37" t="str">
        <f>IF($I$28+$I$29&gt;13,L32*$I$30,"0")</f>
        <v>0</v>
      </c>
      <c r="N33" s="37" t="str">
        <f>IF($I$28+$I$29&gt;13,O33-M33,"0")</f>
        <v>0</v>
      </c>
      <c r="O33" s="84" t="str">
        <f>IF($I$28&lt;14,IF(($I$28+$I$29)&lt;14,"0",$I$33))</f>
        <v>0</v>
      </c>
      <c r="P33" s="12"/>
      <c r="Q33" s="12"/>
      <c r="R33" s="12"/>
      <c r="S33" s="12"/>
      <c r="T33" s="12"/>
      <c r="U33" s="12"/>
      <c r="V33" s="12"/>
      <c r="W33" s="12"/>
      <c r="X33" s="12"/>
      <c r="Y33" s="12"/>
      <c r="Z33" s="13"/>
    </row>
    <row r="34" spans="1:26">
      <c r="A34" s="14" t="str">
        <f>IF('Plan financiación'!$C$15&gt;14,"Año 15","")</f>
        <v>Año 15</v>
      </c>
      <c r="B34" s="78">
        <f>IF('Plan financiación'!$C$15&gt;14,B33-D34,"0")</f>
        <v>9.6406438387930393E-11</v>
      </c>
      <c r="C34" s="78">
        <f>IF('Plan financiación'!$C$15&gt;14,B33*'Plan financiación'!$C$13,"0")</f>
        <v>291.4040489301355</v>
      </c>
      <c r="D34" s="78">
        <f>IF('Plan financiación'!$C$15&gt;14,E34-C34,"")</f>
        <v>4856.7341488354959</v>
      </c>
      <c r="E34" s="79">
        <f>IF('Plan financiación'!$C$15&gt;14,$I$24,"0")</f>
        <v>5148.138197765631</v>
      </c>
      <c r="F34" s="12"/>
      <c r="G34" s="12"/>
      <c r="H34" s="12"/>
      <c r="I34" s="12"/>
      <c r="J34" s="12"/>
      <c r="K34" s="14" t="str">
        <f>IF($I$28+$I$29&gt;14,"Año 15","")</f>
        <v/>
      </c>
      <c r="L34" s="37">
        <f>IF($I$28=15,$I$27,IF($I$28&lt;15,L33-N34,"0"))</f>
        <v>2.2737367544323206E-12</v>
      </c>
      <c r="M34" s="37" t="str">
        <f>IF($I$28+$I$29&gt;14,L33*$I$30,"0")</f>
        <v>0</v>
      </c>
      <c r="N34" s="37" t="str">
        <f>IF($I$28+$I$29&gt;14,O34-M34,"0")</f>
        <v>0</v>
      </c>
      <c r="O34" s="84" t="str">
        <f>IF($I$28&lt;15,IF(($I$28+$I$29)&lt;15,"0",$I$33))</f>
        <v>0</v>
      </c>
      <c r="P34" s="12"/>
      <c r="Q34" s="12"/>
      <c r="R34" s="12"/>
      <c r="S34" s="12"/>
      <c r="T34" s="12"/>
      <c r="U34" s="12"/>
      <c r="V34" s="12"/>
      <c r="W34" s="12"/>
      <c r="X34" s="12"/>
      <c r="Y34" s="12"/>
      <c r="Z34" s="13"/>
    </row>
    <row r="35" spans="1:26">
      <c r="A35" s="14" t="str">
        <f>IF('Plan financiación'!$C$15&gt;15,"Año 16","")</f>
        <v/>
      </c>
      <c r="B35" s="78" t="str">
        <f>IF('Plan financiación'!$C$15&gt;15,B34-D35,"0")</f>
        <v>0</v>
      </c>
      <c r="C35" s="78" t="str">
        <f>IF('Plan financiación'!$C$15&gt;15,B34*'Plan financiación'!$C$13,"0")</f>
        <v>0</v>
      </c>
      <c r="D35" s="78" t="str">
        <f>IF('Plan financiación'!$C$15&gt;15,E35-C35,"")</f>
        <v/>
      </c>
      <c r="E35" s="79" t="str">
        <f>IF('Plan financiación'!$C$15&gt;15,$I$24,"0")</f>
        <v>0</v>
      </c>
      <c r="F35" s="12"/>
      <c r="G35" s="12"/>
      <c r="H35" s="12"/>
      <c r="I35" s="12"/>
      <c r="J35" s="12"/>
      <c r="K35" s="14" t="str">
        <f>IF($I$28+$I$29&gt;15,"Año 16","")</f>
        <v/>
      </c>
      <c r="L35" s="37">
        <f>IF($I$28=16,$I$27,IF($I$28&lt;16,L34-N35,"0"))</f>
        <v>2.2737367544323206E-12</v>
      </c>
      <c r="M35" s="37" t="str">
        <f>IF($I$28+$I$29&gt;15,L34*$I$30,"0")</f>
        <v>0</v>
      </c>
      <c r="N35" s="37" t="str">
        <f>IF($I$28+$I$29&gt;15,O35-M35,"0")</f>
        <v>0</v>
      </c>
      <c r="O35" s="84" t="str">
        <f>IF($I$28&lt;16,IF(($I$28+$I$29)&lt;16,"0",$I$33))</f>
        <v>0</v>
      </c>
      <c r="P35" s="12"/>
      <c r="Q35" s="12"/>
      <c r="R35" s="12"/>
      <c r="S35" s="12"/>
      <c r="T35" s="12"/>
      <c r="U35" s="12"/>
      <c r="V35" s="12"/>
      <c r="W35" s="12"/>
      <c r="X35" s="12"/>
      <c r="Y35" s="12"/>
      <c r="Z35" s="13"/>
    </row>
    <row r="36" spans="1:26">
      <c r="A36" s="14" t="str">
        <f>IF('Plan financiación'!$C$15&gt;16,"Año 17","")</f>
        <v/>
      </c>
      <c r="B36" s="78" t="str">
        <f>IF('Plan financiación'!$C$15&gt;16,B35-D36,"0")</f>
        <v>0</v>
      </c>
      <c r="C36" s="78" t="str">
        <f>IF('Plan financiación'!$C$15&gt;16,B35*'Plan financiación'!$C$13,"0")</f>
        <v>0</v>
      </c>
      <c r="D36" s="78" t="str">
        <f>IF('Plan financiación'!$C$15&gt;16,E36-C36,"")</f>
        <v/>
      </c>
      <c r="E36" s="79" t="str">
        <f>IF('Plan financiación'!$C$15&gt;16,$I$24,"0")</f>
        <v>0</v>
      </c>
      <c r="F36" s="12"/>
      <c r="G36" s="12"/>
      <c r="H36" s="12"/>
      <c r="I36" s="12"/>
      <c r="J36" s="12"/>
      <c r="K36" s="14" t="str">
        <f>IF($I$28+$I$29&gt;16,"Año 17","")</f>
        <v/>
      </c>
      <c r="L36" s="37">
        <f>IF($I$28=17,$I$27,IF($I$28&lt;17,L35-N36,"0"))</f>
        <v>2.2737367544323206E-12</v>
      </c>
      <c r="M36" s="37" t="str">
        <f>IF($I$28+$I$29&gt;16,L35*$I$30,"0")</f>
        <v>0</v>
      </c>
      <c r="N36" s="37" t="str">
        <f>IF($I$28+$I$29&gt;16,O36-M36,"0")</f>
        <v>0</v>
      </c>
      <c r="O36" s="84" t="str">
        <f>IF($I$28&lt;17,IF(($I$28+$I$29)&lt;17,"0",$I$33))</f>
        <v>0</v>
      </c>
      <c r="P36" s="12"/>
      <c r="Q36" s="12"/>
      <c r="R36" s="12"/>
      <c r="S36" s="12"/>
      <c r="T36" s="12"/>
      <c r="U36" s="12"/>
      <c r="V36" s="12"/>
      <c r="W36" s="12"/>
      <c r="X36" s="12"/>
      <c r="Y36" s="12"/>
      <c r="Z36" s="13"/>
    </row>
    <row r="37" spans="1:26">
      <c r="A37" s="14" t="str">
        <f>IF('Plan financiación'!$C$15&gt;17,"Año 18","")</f>
        <v/>
      </c>
      <c r="B37" s="78" t="str">
        <f>IF('Plan financiación'!$C$15&gt;17,B36-D37,"0")</f>
        <v>0</v>
      </c>
      <c r="C37" s="78" t="str">
        <f>IF('Plan financiación'!$C$15&gt;17,B36*'Plan financiación'!$C$13,"0")</f>
        <v>0</v>
      </c>
      <c r="D37" s="78" t="str">
        <f>IF('Plan financiación'!$C$15&gt;17,E37-C37,"")</f>
        <v/>
      </c>
      <c r="E37" s="79" t="str">
        <f>IF('Plan financiación'!$C$15&gt;17,$I$24,"0")</f>
        <v>0</v>
      </c>
      <c r="F37" s="12"/>
      <c r="G37" s="12"/>
      <c r="H37" s="12"/>
      <c r="I37" s="12"/>
      <c r="J37" s="12"/>
      <c r="K37" s="14" t="str">
        <f>IF($I$28+$I$29&gt;17,"Año 18","")</f>
        <v/>
      </c>
      <c r="L37" s="37">
        <f>IF($I$28=18,$I$27,IF($I$28&lt;18,L36-N37,"0"))</f>
        <v>2.2737367544323206E-12</v>
      </c>
      <c r="M37" s="37" t="str">
        <f>IF($I$28+$I$29&gt;17,L36*$I$30,"0")</f>
        <v>0</v>
      </c>
      <c r="N37" s="37" t="str">
        <f>IF($I$28+$I$29&gt;17,O37-M37,"0")</f>
        <v>0</v>
      </c>
      <c r="O37" s="84" t="str">
        <f>IF($I$28&lt;18,IF(($I$28+$I$29)&lt;18,"0",$I$33))</f>
        <v>0</v>
      </c>
      <c r="P37" s="12"/>
      <c r="Q37" s="12"/>
      <c r="R37" s="12"/>
      <c r="S37" s="12"/>
      <c r="T37" s="12"/>
      <c r="U37" s="12"/>
      <c r="V37" s="12"/>
      <c r="W37" s="12"/>
      <c r="X37" s="12"/>
      <c r="Y37" s="12"/>
      <c r="Z37" s="13"/>
    </row>
    <row r="38" spans="1:26">
      <c r="A38" s="14" t="str">
        <f>IF('Plan financiación'!$C$15&gt;18,"Año 19","")</f>
        <v/>
      </c>
      <c r="B38" s="78" t="str">
        <f>IF('Plan financiación'!$C$15&gt;18,B37-D38,"0")</f>
        <v>0</v>
      </c>
      <c r="C38" s="78" t="str">
        <f>IF('Plan financiación'!$C$15&gt;18,B37*'Plan financiación'!$C$13,"0")</f>
        <v>0</v>
      </c>
      <c r="D38" s="78" t="str">
        <f>IF('Plan financiación'!$C$15&gt;18,E38-C38,"")</f>
        <v/>
      </c>
      <c r="E38" s="79" t="str">
        <f>IF('Plan financiación'!$C$15&gt;18,$I$24,"0")</f>
        <v>0</v>
      </c>
      <c r="F38" s="12"/>
      <c r="G38" s="12"/>
      <c r="H38" s="12"/>
      <c r="I38" s="12"/>
      <c r="J38" s="12"/>
      <c r="K38" s="14" t="str">
        <f>IF($I$28+$I$29&gt;18,"Año 19","")</f>
        <v/>
      </c>
      <c r="L38" s="37">
        <f>IF($I$28=19,$I$27,IF($I$28&lt;19,L37-N38,"0"))</f>
        <v>2.2737367544323206E-12</v>
      </c>
      <c r="M38" s="37" t="str">
        <f>IF($I$28+$I$29&gt;18,L37*$I$30,"0")</f>
        <v>0</v>
      </c>
      <c r="N38" s="37" t="str">
        <f>IF($I$28+$I$29&gt;18,O38-M38,"0")</f>
        <v>0</v>
      </c>
      <c r="O38" s="84" t="str">
        <f>IF($I$28&lt;19,IF(($I$28+$I$29)&lt;19,"0",$I$33))</f>
        <v>0</v>
      </c>
      <c r="P38" s="12"/>
      <c r="Q38" s="12"/>
      <c r="R38" s="12"/>
      <c r="S38" s="12"/>
      <c r="T38" s="12"/>
      <c r="U38" s="12"/>
      <c r="V38" s="12"/>
      <c r="W38" s="12"/>
      <c r="X38" s="12"/>
      <c r="Y38" s="12"/>
      <c r="Z38" s="13"/>
    </row>
    <row r="39" spans="1:26" ht="13.5" thickBot="1">
      <c r="A39" s="18" t="str">
        <f>IF('Plan financiación'!$C$15&gt;19,"Año 20","")</f>
        <v/>
      </c>
      <c r="B39" s="80" t="str">
        <f>IF('Plan financiación'!$C$15&gt;19,B38-D39,"0")</f>
        <v>0</v>
      </c>
      <c r="C39" s="80" t="str">
        <f>IF('Plan financiación'!$C$15&gt;19,B38*'Plan financiación'!$C$13,"0")</f>
        <v>0</v>
      </c>
      <c r="D39" s="80" t="str">
        <f>IF('Plan financiación'!$C$15&gt;19,E39-C39,"")</f>
        <v/>
      </c>
      <c r="E39" s="81" t="str">
        <f>IF('Plan financiación'!$C$15&gt;19,$I$24,"0")</f>
        <v>0</v>
      </c>
      <c r="F39" s="12"/>
      <c r="G39" s="12"/>
      <c r="H39" s="12"/>
      <c r="I39" s="12"/>
      <c r="J39" s="12"/>
      <c r="K39" s="18" t="str">
        <f>IF($I$28+$I$29&gt;19,"Año 20","")</f>
        <v/>
      </c>
      <c r="L39" s="41">
        <f>IF($I$28=20,$I$27,IF($I$28&lt;20,L38-N39,"0"))</f>
        <v>2.2737367544323206E-12</v>
      </c>
      <c r="M39" s="41" t="str">
        <f>IF($I$28+$I$29&gt;19,L38*$I$30,"0")</f>
        <v>0</v>
      </c>
      <c r="N39" s="41" t="str">
        <f>IF($I$28+$I$29&gt;19,O39-M39,"0")</f>
        <v>0</v>
      </c>
      <c r="O39" s="85" t="str">
        <f>IF($I$28&lt;20,IF(($I$28+$I$29)&lt;20,"0",$I$33))</f>
        <v>0</v>
      </c>
      <c r="P39" s="12"/>
      <c r="Q39" s="12"/>
      <c r="R39" s="12"/>
      <c r="S39" s="12"/>
      <c r="T39" s="12"/>
      <c r="U39" s="12"/>
      <c r="V39" s="12"/>
      <c r="W39" s="12"/>
      <c r="X39" s="12"/>
      <c r="Y39" s="12"/>
      <c r="Z39" s="13"/>
    </row>
    <row r="40" spans="1:26" ht="13.5" thickBot="1">
      <c r="A40" s="25"/>
      <c r="B40" s="26"/>
      <c r="C40" s="67"/>
      <c r="D40" s="67"/>
      <c r="E40" s="26"/>
      <c r="F40" s="26"/>
      <c r="G40" s="26"/>
      <c r="H40" s="26"/>
      <c r="I40" s="26"/>
      <c r="J40" s="26"/>
      <c r="K40" s="26"/>
      <c r="L40" s="26"/>
      <c r="M40" s="26"/>
      <c r="N40" s="26"/>
      <c r="O40" s="26"/>
      <c r="P40" s="26"/>
      <c r="Q40" s="26"/>
      <c r="R40" s="26"/>
      <c r="S40" s="26"/>
      <c r="T40" s="26"/>
      <c r="U40" s="26"/>
      <c r="V40" s="26"/>
      <c r="W40" s="26"/>
      <c r="X40" s="26"/>
      <c r="Y40" s="26"/>
      <c r="Z40" s="27"/>
    </row>
    <row r="41" spans="1:26" hidden="1">
      <c r="A41" s="11"/>
      <c r="B41" s="12"/>
      <c r="C41" s="42"/>
      <c r="D41" s="4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2"/>
      <c r="P41" s="12"/>
      <c r="Q41" s="12"/>
      <c r="R41" s="12"/>
      <c r="S41" s="12"/>
      <c r="T41" s="12"/>
      <c r="U41" s="12"/>
      <c r="V41" s="12"/>
      <c r="W41" s="12"/>
      <c r="X41" s="12"/>
      <c r="Y41" s="12"/>
      <c r="Z41" s="13"/>
    </row>
    <row r="42" spans="1:26" ht="13.5" hidden="1" thickBot="1">
      <c r="A42" s="25"/>
      <c r="B42" s="26"/>
      <c r="C42" s="26"/>
      <c r="D42" s="26"/>
      <c r="E42" s="26"/>
      <c r="F42" s="26"/>
      <c r="G42" s="12" t="s">
        <v>35</v>
      </c>
      <c r="H42" s="12">
        <f>MAX(C15,(I28+I29))</f>
        <v>15</v>
      </c>
      <c r="I42" s="12"/>
      <c r="J42" s="26"/>
      <c r="K42" s="26"/>
      <c r="L42" s="26"/>
      <c r="M42" s="26"/>
      <c r="N42" s="26"/>
      <c r="O42" s="26"/>
      <c r="P42" s="26"/>
      <c r="Q42" s="26"/>
      <c r="R42" s="26"/>
      <c r="S42" s="26"/>
      <c r="T42" s="26"/>
      <c r="U42" s="26"/>
      <c r="V42" s="26"/>
      <c r="W42" s="26"/>
      <c r="X42" s="26"/>
      <c r="Y42" s="26"/>
      <c r="Z42" s="27"/>
    </row>
  </sheetData>
  <mergeCells count="13">
    <mergeCell ref="K17:O17"/>
    <mergeCell ref="G33:H33"/>
    <mergeCell ref="B2:C2"/>
    <mergeCell ref="G27:H27"/>
    <mergeCell ref="G28:H28"/>
    <mergeCell ref="G29:H29"/>
    <mergeCell ref="G30:H30"/>
    <mergeCell ref="G24:H24"/>
    <mergeCell ref="A17:E17"/>
    <mergeCell ref="G18:H18"/>
    <mergeCell ref="G19:H19"/>
    <mergeCell ref="G21:H21"/>
    <mergeCell ref="G20:H20"/>
  </mergeCells>
  <conditionalFormatting sqref="O20:O39">
    <cfRule type="cellIs" dxfId="29" priority="5" operator="equal">
      <formula>FALSE</formula>
    </cfRule>
  </conditionalFormatting>
  <conditionalFormatting sqref="L19">
    <cfRule type="cellIs" dxfId="28" priority="3" operator="equal">
      <formula>0</formula>
    </cfRule>
  </conditionalFormatting>
  <conditionalFormatting sqref="L20:N39 L19">
    <cfRule type="cellIs" dxfId="27" priority="2" operator="equal">
      <formula>0</formula>
    </cfRule>
  </conditionalFormatting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Y43"/>
  <sheetViews>
    <sheetView zoomScale="80" zoomScaleNormal="80" workbookViewId="0">
      <selection activeCell="A10" sqref="A10"/>
    </sheetView>
  </sheetViews>
  <sheetFormatPr baseColWidth="10" defaultRowHeight="12.75"/>
  <cols>
    <col min="1" max="1" width="7.85546875" style="10" customWidth="1"/>
    <col min="2" max="2" width="21.7109375" style="10" customWidth="1"/>
    <col min="3" max="3" width="11.42578125" style="10"/>
    <col min="4" max="4" width="12.85546875" style="10" bestFit="1" customWidth="1"/>
    <col min="5" max="5" width="14.5703125" style="10" customWidth="1"/>
    <col min="6" max="8" width="12.5703125" style="10" bestFit="1" customWidth="1"/>
    <col min="9" max="23" width="11.42578125" style="10"/>
    <col min="24" max="24" width="12.7109375" style="10" bestFit="1" customWidth="1"/>
    <col min="25" max="16384" width="11.42578125" style="10"/>
  </cols>
  <sheetData>
    <row r="1" spans="1:25" ht="13.5" thickBot="1">
      <c r="A1" s="43"/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3"/>
      <c r="S1" s="43"/>
      <c r="T1" s="43"/>
      <c r="U1" s="43"/>
      <c r="V1" s="43"/>
      <c r="W1" s="43"/>
      <c r="X1" s="43"/>
      <c r="Y1" s="13"/>
    </row>
    <row r="2" spans="1:25" ht="13.5" thickBot="1">
      <c r="A2" s="43"/>
      <c r="B2" s="43"/>
      <c r="C2" s="44" t="s">
        <v>51</v>
      </c>
      <c r="D2" s="44" t="str">
        <f>IF(MAX('Plan inversión'!$D$8,'Plan financiación'!$H$42)&gt;0,"Año 1","")</f>
        <v>Año 1</v>
      </c>
      <c r="E2" s="45" t="str">
        <f>IF(MAX('Plan inversión'!$D$8,'Plan financiación'!$H$42)&gt;1,"Año 2","")</f>
        <v>Año 2</v>
      </c>
      <c r="F2" s="45" t="str">
        <f>IF(MAX('Plan inversión'!$D$8,'Plan financiación'!$H$42)&gt;2,"Año 3","")</f>
        <v>Año 3</v>
      </c>
      <c r="G2" s="45" t="str">
        <f>IF(MAX('Plan inversión'!$D$8,'Plan financiación'!$H$42)&gt;3,"Año 4","")</f>
        <v>Año 4</v>
      </c>
      <c r="H2" s="45" t="str">
        <f>IF(MAX('Plan inversión'!$D$8,'Plan financiación'!$H$42)&gt;4,"Año 5","")</f>
        <v>Año 5</v>
      </c>
      <c r="I2" s="45" t="str">
        <f>IF(MAX('Plan inversión'!$D$8,'Plan financiación'!$H$42)&gt;5,"Año 6","")</f>
        <v>Año 6</v>
      </c>
      <c r="J2" s="45" t="str">
        <f>IF(MAX('Plan inversión'!$D$8,'Plan financiación'!$H$42)&gt;6,"Año 7","")</f>
        <v>Año 7</v>
      </c>
      <c r="K2" s="45" t="str">
        <f>IF(MAX('Plan inversión'!$D$8,'Plan financiación'!$H$42)&gt;7,"Año 8","")</f>
        <v>Año 8</v>
      </c>
      <c r="L2" s="45" t="str">
        <f>IF(MAX('Plan inversión'!$D$8,'Plan financiación'!$H$42)&gt;8,"Año 9","")</f>
        <v>Año 9</v>
      </c>
      <c r="M2" s="45" t="str">
        <f>IF(MAX('Plan inversión'!$D$8,'Plan financiación'!$H$42)&gt;9,"Año 10","")</f>
        <v>Año 10</v>
      </c>
      <c r="N2" s="45" t="str">
        <f>IF(MAX('Plan inversión'!$D$8,'Plan financiación'!$H$42)&gt;10,"Año 11","")</f>
        <v>Año 11</v>
      </c>
      <c r="O2" s="45" t="str">
        <f>IF(MAX('Plan inversión'!$D$8,'Plan financiación'!$H$42)&gt;11,"Año 12","")</f>
        <v>Año 12</v>
      </c>
      <c r="P2" s="45" t="str">
        <f>IF(MAX('Plan inversión'!$D$8,'Plan financiación'!$H$42)&gt;12,"Año 13","")</f>
        <v>Año 13</v>
      </c>
      <c r="Q2" s="45" t="str">
        <f>IF(MAX('Plan inversión'!$D$8,'Plan financiación'!$H$42)&gt;13,"Año 14","")</f>
        <v>Año 14</v>
      </c>
      <c r="R2" s="45" t="str">
        <f>IF(MAX('Plan inversión'!$D$8,'Plan financiación'!$H$42)&gt;14,"Año 15","")</f>
        <v>Año 15</v>
      </c>
      <c r="S2" s="45" t="str">
        <f>IF(MAX('Plan inversión'!$D$8,'Plan financiación'!$H$42)&gt;15,"Año 16","")</f>
        <v>Año 16</v>
      </c>
      <c r="T2" s="45" t="str">
        <f>IF(MAX('Plan inversión'!$D$8,'Plan financiación'!$H$42)&gt;16,"Año 17","")</f>
        <v>Año 17</v>
      </c>
      <c r="U2" s="45" t="str">
        <f>IF(MAX('Plan inversión'!$D$8,'Plan financiación'!$H$42)&gt;17,"Año 18","")</f>
        <v>Año 18</v>
      </c>
      <c r="V2" s="45" t="str">
        <f>IF(MAX('Plan inversión'!$D$8,'Plan financiación'!$H$42)&gt;18,"Año 19","")</f>
        <v>Año 19</v>
      </c>
      <c r="W2" s="46" t="str">
        <f>IF(MAX('Plan inversión'!$D$8,'Plan financiación'!$H$42)&gt;19,"Año 20","")</f>
        <v>Año 20</v>
      </c>
      <c r="X2" s="51" t="s">
        <v>57</v>
      </c>
      <c r="Y2" s="13"/>
    </row>
    <row r="3" spans="1:25" ht="13.5" thickBot="1">
      <c r="A3" s="43"/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  <c r="P3" s="43"/>
      <c r="Q3" s="43"/>
      <c r="R3" s="43"/>
      <c r="S3" s="43"/>
      <c r="T3" s="43"/>
      <c r="U3" s="43"/>
      <c r="V3" s="43"/>
      <c r="W3" s="43"/>
      <c r="X3" s="43"/>
      <c r="Y3" s="13"/>
    </row>
    <row r="4" spans="1:25" ht="13.5" thickBot="1">
      <c r="A4" s="43"/>
      <c r="B4" s="47" t="s">
        <v>25</v>
      </c>
      <c r="C4" s="58">
        <f>'Plan financiación'!C6+'Plan financiación'!C4</f>
        <v>55000</v>
      </c>
      <c r="D4" s="59">
        <f>'Plan inversión'!D26+'Plan financiación'!F4+'Plan financiación'!F5+'Plan financiación'!F6</f>
        <v>18200</v>
      </c>
      <c r="E4" s="59">
        <f>'Plan inversión'!E26+'Plan financiación'!G4+'Plan financiación'!G5+'Plan financiación'!G6</f>
        <v>14410</v>
      </c>
      <c r="F4" s="59">
        <f>'Plan inversión'!F26+'Plan financiación'!H4+'Plan financiación'!H5+'Plan financiación'!H6</f>
        <v>17630.5</v>
      </c>
      <c r="G4" s="59">
        <f>'Plan inversión'!G26+'Plan financiación'!I4+'Plan financiación'!I5+'Plan financiación'!I6</f>
        <v>7362.0249999999996</v>
      </c>
      <c r="H4" s="59">
        <f>'Plan inversión'!H26+'Plan financiación'!J4+'Plan financiación'!J5+'Plan financiación'!J6</f>
        <v>10600</v>
      </c>
      <c r="I4" s="59">
        <f>'Plan inversión'!I26+'Plan financiación'!K4+'Plan financiación'!K5+'Plan financiación'!K6</f>
        <v>5880</v>
      </c>
      <c r="J4" s="59">
        <f>'Plan inversión'!J26+'Plan financiación'!L4+'Plan financiación'!L5+'Plan financiación'!L6</f>
        <v>6174</v>
      </c>
      <c r="K4" s="59">
        <f>'Plan inversión'!K26+'Plan financiación'!M4+'Plan financiación'!M5+'Plan financiación'!M6</f>
        <v>6482.7</v>
      </c>
      <c r="L4" s="59">
        <f>'Plan inversión'!L26+'Plan financiación'!N4+'Plan financiación'!N5+'Plan financiación'!N6</f>
        <v>6806.835</v>
      </c>
      <c r="M4" s="59">
        <f>'Plan inversión'!M26+'Plan financiación'!O4+'Plan financiación'!O5+'Plan financiación'!O6</f>
        <v>7699.9999999999991</v>
      </c>
      <c r="N4" s="59">
        <f>'Plan inversión'!N26+'Plan financiación'!P4+'Plan financiación'!P5+'Plan financiación'!P6</f>
        <v>8084.9999999999991</v>
      </c>
      <c r="O4" s="59">
        <f>'Plan inversión'!O26+'Plan financiación'!Q4+'Plan financiación'!Q5+'Plan financiación'!Q6</f>
        <v>8489.25</v>
      </c>
      <c r="P4" s="59">
        <f>'Plan inversión'!P26+'Plan financiación'!R4+'Plan financiación'!R5+'Plan financiación'!R6</f>
        <v>8913.7124999999996</v>
      </c>
      <c r="Q4" s="59">
        <f>'Plan inversión'!Q26+'Plan financiación'!S4+'Plan financiación'!S5+'Plan financiación'!S6</f>
        <v>9359.3981249999997</v>
      </c>
      <c r="R4" s="59">
        <f>'Plan inversión'!R26+'Plan financiación'!T4+'Plan financiación'!T5+'Plan financiación'!T6</f>
        <v>9827.3680312500001</v>
      </c>
      <c r="S4" s="59">
        <f>'Plan inversión'!S26+'Plan financiación'!U4+'Plan financiación'!U5+'Plan financiación'!U6</f>
        <v>10318.7364328125</v>
      </c>
      <c r="T4" s="59">
        <f>'Plan inversión'!T26+'Plan financiación'!V4+'Plan financiación'!V5+'Plan financiación'!V6</f>
        <v>10834.673254453126</v>
      </c>
      <c r="U4" s="59">
        <f>'Plan inversión'!U26+'Plan financiación'!W4+'Plan financiación'!W5+'Plan financiación'!W6</f>
        <v>11376.406917175784</v>
      </c>
      <c r="V4" s="59">
        <f>'Plan inversión'!V26+'Plan financiación'!X4+'Plan financiación'!X5+'Plan financiación'!X6</f>
        <v>11945.227263034574</v>
      </c>
      <c r="W4" s="35">
        <f>'Plan inversión'!W26+'Plan financiación'!Y4+'Plan financiación'!Y5+'Plan financiación'!Y6</f>
        <v>12542.488626186301</v>
      </c>
      <c r="X4" s="12"/>
      <c r="Y4" s="13"/>
    </row>
    <row r="5" spans="1:25" ht="13.5" thickBot="1">
      <c r="A5" s="43"/>
      <c r="B5" s="47" t="s">
        <v>24</v>
      </c>
      <c r="C5" s="48">
        <f>'Plan inversión'!D4</f>
        <v>55000</v>
      </c>
      <c r="D5" s="49">
        <f>'Plan financiación'!E$20+'Plan financiación'!O$20+'Plan inversión'!D23+'Plan inversión'!D24+('Plan inversión'!D26-'Plan financiación'!F10)</f>
        <v>15148.138197765631</v>
      </c>
      <c r="E5" s="49">
        <f>'Plan financiación'!E21+'Plan financiación'!O21+'Plan inversión'!E23+'Plan inversión'!E24+('Plan inversión'!E26-'Plan financiación'!G10)</f>
        <v>15148.138197765631</v>
      </c>
      <c r="F5" s="49">
        <f>'Plan financiación'!E22+'Plan financiación'!O22+'Plan inversión'!F23+'Plan inversión'!F24+('Plan inversión'!F26-'Plan financiación'!H10)</f>
        <v>15148.138197765631</v>
      </c>
      <c r="G5" s="49">
        <f>'Plan financiación'!E23+'Plan financiación'!O23+'Plan inversión'!G23+'Plan inversión'!G24+('Plan inversión'!G26-'Plan financiación'!I10)</f>
        <v>12099.263753296624</v>
      </c>
      <c r="H5" s="49">
        <f>'Plan financiación'!E24+'Plan financiación'!O24+'Plan inversión'!H23+'Plan inversión'!H24+('Plan inversión'!H26-'Plan financiación'!J10)</f>
        <v>7099.2637532966237</v>
      </c>
      <c r="I5" s="49">
        <f>'Plan financiación'!E25+'Plan financiación'!O25+'Plan inversión'!I23+'Plan inversión'!I24+('Plan inversión'!I26-'Plan financiación'!K10)</f>
        <v>7099.2637532966237</v>
      </c>
      <c r="J5" s="49">
        <f>'Plan financiación'!E26+'Plan financiación'!O26+'Plan inversión'!J23+'Plan inversión'!J24+('Plan inversión'!J26-'Plan financiación'!L10)</f>
        <v>7099.2637532966237</v>
      </c>
      <c r="K5" s="49">
        <f>'Plan financiación'!E27+'Plan financiación'!O27+'Plan inversión'!K23+'Plan inversión'!K24+('Plan inversión'!K26-'Plan financiación'!M10)</f>
        <v>7099.2637532966237</v>
      </c>
      <c r="L5" s="49">
        <f>'Plan financiación'!E28+'Plan financiación'!O28+'Plan inversión'!L23+'Plan inversión'!L24+('Plan inversión'!L26-'Plan financiación'!N10)</f>
        <v>5148.138197765631</v>
      </c>
      <c r="M5" s="49">
        <f>'Plan financiación'!E29+'Plan financiación'!O29+'Plan inversión'!M23+'Plan inversión'!M24+('Plan inversión'!M26-'Plan financiación'!O10)</f>
        <v>8848.138197765631</v>
      </c>
      <c r="N5" s="49">
        <f>'Plan financiación'!E30+'Plan financiación'!O30+'Plan inversión'!N23+'Plan inversión'!N24+('Plan inversión'!N26-'Plan financiación'!P10)</f>
        <v>9233.138197765631</v>
      </c>
      <c r="O5" s="49">
        <f>'Plan financiación'!E31+'Plan financiación'!O31+'Plan inversión'!O23+'Plan inversión'!O24+('Plan inversión'!O26-'Plan financiación'!Q10)</f>
        <v>8637.388197765631</v>
      </c>
      <c r="P5" s="49">
        <f>'Plan financiación'!E32+'Plan financiación'!O32+'Plan inversión'!P23+'Plan inversión'!P24+('Plan inversión'!P26-'Plan financiación'!R10)</f>
        <v>8561.8506977656307</v>
      </c>
      <c r="Q5" s="49">
        <f>'Plan financiación'!E33+'Plan financiación'!O33+'Plan inversión'!Q23+'Plan inversión'!Q24+('Plan inversión'!Q26-'Plan financiación'!S10)</f>
        <v>8507.5363227656308</v>
      </c>
      <c r="R5" s="49">
        <f>'Plan financiación'!E34+'Plan financiación'!O34+'Plan inversión'!R23+'Plan inversión'!R24+('Plan inversión'!R26-'Plan financiación'!T10)</f>
        <v>8975.5062290156311</v>
      </c>
      <c r="S5" s="49">
        <f>'Plan financiación'!E35+'Plan financiación'!O35+'Plan inversión'!S23+'Plan inversión'!S24+('Plan inversión'!S26-'Plan financiación'!U10)</f>
        <v>4318.7364328125004</v>
      </c>
      <c r="T5" s="49">
        <f>'Plan financiación'!E36+'Plan financiación'!O36+'Plan inversión'!T23+'Plan inversión'!T24+('Plan inversión'!T26-'Plan financiación'!V10)</f>
        <v>4834.673254453126</v>
      </c>
      <c r="U5" s="49">
        <f>'Plan financiación'!E37+'Plan financiación'!O37+'Plan inversión'!U23+'Plan inversión'!U24+('Plan inversión'!U26-'Plan financiación'!W10)</f>
        <v>5376.4069171757837</v>
      </c>
      <c r="V5" s="49">
        <f>'Plan financiación'!E38+'Plan financiación'!O38+'Plan inversión'!V23+'Plan inversión'!V24+('Plan inversión'!V26-'Plan financiación'!X10)</f>
        <v>5945.2272630345742</v>
      </c>
      <c r="W5" s="50">
        <f>'Plan financiación'!E39+'Plan financiación'!O39+'Plan inversión'!W23+'Plan inversión'!W24+('Plan inversión'!W26-'Plan financiación'!Y10)</f>
        <v>6542.4886261863012</v>
      </c>
      <c r="X5" s="12"/>
      <c r="Y5" s="13"/>
    </row>
    <row r="6" spans="1:25" ht="13.5" thickBot="1">
      <c r="A6" s="43"/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3"/>
    </row>
    <row r="7" spans="1:25" ht="13.5" thickBot="1">
      <c r="A7" s="43"/>
      <c r="B7" s="68" t="s">
        <v>32</v>
      </c>
      <c r="C7" s="54">
        <f>+C4-C5</f>
        <v>0</v>
      </c>
      <c r="D7" s="54">
        <f>IF(MAX('Plan inversión'!$D$8,'Plan financiación'!$H$42)&gt;0,C7+D4-D5,"0")</f>
        <v>3051.861802234369</v>
      </c>
      <c r="E7" s="54">
        <f>IF(MAX('Plan inversión'!$D$8,'Plan financiación'!$H$42)&gt;1,D7+E4-E5,"0")</f>
        <v>2313.7236044687379</v>
      </c>
      <c r="F7" s="54">
        <f>IF(MAX('Plan inversión'!$D$8,'Plan financiación'!$H$42)&gt;2,E7+F4-F5,"0")</f>
        <v>4796.0854067031069</v>
      </c>
      <c r="G7" s="54">
        <f>IF(MAX('Plan inversión'!$D$8,'Plan financiación'!$H$42)&gt;3,F7+G4-G5,"0")</f>
        <v>58.846653406482801</v>
      </c>
      <c r="H7" s="54">
        <f>IF(MAX('Plan inversión'!$D$8,'Plan financiación'!$H$42)&gt;4,G7+H4-H5,"0")</f>
        <v>3559.5829001098591</v>
      </c>
      <c r="I7" s="86">
        <f>IF(MAX('Plan inversión'!$D$8,'Plan financiación'!$H$42)&gt;5,H7+I4-I5,"0")</f>
        <v>2340.3191468132354</v>
      </c>
      <c r="J7" s="86">
        <f>IF(MAX('Plan inversión'!$D$8,'Plan financiación'!$H$42)&gt;6,I7+J4-J5,"0")</f>
        <v>1415.0553935166117</v>
      </c>
      <c r="K7" s="86">
        <f>IF(MAX('Plan inversión'!$D$8,'Plan financiación'!$H$42)&gt;7,J7+K4-K5,"0")</f>
        <v>798.49164021998786</v>
      </c>
      <c r="L7" s="86">
        <f>IF(MAX('Plan inversión'!$D$8,'Plan financiación'!$H$42)&gt;8,K7+L4-L5,"0")</f>
        <v>2457.1884424543568</v>
      </c>
      <c r="M7" s="86">
        <f>IF(MAX('Plan inversión'!$D$8,'Plan financiación'!$H$42)&gt;9,L7+M4-M5,"0")</f>
        <v>1309.0502446887258</v>
      </c>
      <c r="N7" s="86">
        <f>IF(MAX('Plan inversión'!$D$8,'Plan financiación'!$H$42)&gt;10,M7+N4-N5,"0")</f>
        <v>160.91204692309475</v>
      </c>
      <c r="O7" s="86">
        <f>IF(MAX('Plan inversión'!$D$8,'Plan financiación'!$H$42)&gt;11,N7+O4-O5,"0")</f>
        <v>12.773849157463701</v>
      </c>
      <c r="P7" s="86">
        <f>IF(MAX('Plan inversión'!$D$8,'Plan financiación'!$H$42)&gt;12,O7+P4-P5,"0")</f>
        <v>364.63565139183265</v>
      </c>
      <c r="Q7" s="86">
        <f>IF(MAX('Plan inversión'!$D$8,'Plan financiación'!$H$42)&gt;13,P7+Q4-Q5,"0")</f>
        <v>1216.4974536262016</v>
      </c>
      <c r="R7" s="86">
        <f>IF(MAX('Plan inversión'!$D$8,'Plan financiación'!$H$42)&gt;14,Q7+R4-R5,"0")</f>
        <v>2068.3592558605706</v>
      </c>
      <c r="S7" s="86">
        <f>IF(MAX('Plan inversión'!$D$8,'Plan financiación'!$H$42)&gt;15,R7+S4-S5,"0")</f>
        <v>8068.3592558605706</v>
      </c>
      <c r="T7" s="86">
        <f>IF(MAX('Plan inversión'!$D$8,'Plan financiación'!$H$42)&gt;16,S7+T4-T5,"0")</f>
        <v>14068.359255860571</v>
      </c>
      <c r="U7" s="86">
        <f>IF(MAX('Plan inversión'!$D$8,'Plan financiación'!$H$42)&gt;17,T7+U4-U5,"0")</f>
        <v>20068.359255860571</v>
      </c>
      <c r="V7" s="86">
        <f>IF(MAX('Plan inversión'!$D$8,'Plan financiación'!$H$42)&gt;18,U7+V4-V5,"0")</f>
        <v>26068.359255860567</v>
      </c>
      <c r="W7" s="87">
        <f>IF(MAX('Plan inversión'!$D$8,'Plan financiación'!$H$42)&gt;19,V7+W4-W5,"0")</f>
        <v>32068.359255860567</v>
      </c>
      <c r="X7" s="12"/>
      <c r="Y7" s="13"/>
    </row>
    <row r="8" spans="1:25" ht="13.5" thickBot="1">
      <c r="A8" s="12"/>
      <c r="B8" s="12"/>
      <c r="C8" s="12"/>
      <c r="D8" s="12"/>
      <c r="E8" s="12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3"/>
    </row>
    <row r="9" spans="1:25" ht="13.5" thickBot="1">
      <c r="A9" s="12"/>
      <c r="B9" s="56" t="s">
        <v>43</v>
      </c>
      <c r="C9" s="54">
        <f>-'Plan inversión'!D4</f>
        <v>-55000</v>
      </c>
      <c r="D9" s="54">
        <f>('Plan inversión'!D26-'Plan inversión'!D23-'Plan inversión'!D24)</f>
        <v>-5800</v>
      </c>
      <c r="E9" s="54">
        <f>('Plan inversión'!E26-'Plan inversión'!E23-'Plan inversión'!E24)</f>
        <v>-5590</v>
      </c>
      <c r="F9" s="54">
        <f>('Plan inversión'!F26-'Plan inversión'!F23-'Plan inversión'!F24)</f>
        <v>-5369.5</v>
      </c>
      <c r="G9" s="54">
        <f>('Plan inversión'!G26-'Plan inversión'!G23-'Plan inversión'!G24)</f>
        <v>-137.97500000000036</v>
      </c>
      <c r="H9" s="54">
        <f>('Plan inversión'!H26-'Plan inversión'!H23-'Plan inversión'!H24)</f>
        <v>5600</v>
      </c>
      <c r="I9" s="54">
        <f>('Plan inversión'!I26-'Plan inversión'!I23-'Plan inversión'!I24)</f>
        <v>5880</v>
      </c>
      <c r="J9" s="54">
        <f>('Plan inversión'!J26-'Plan inversión'!J23-'Plan inversión'!J24)</f>
        <v>6174</v>
      </c>
      <c r="K9" s="54">
        <f>('Plan inversión'!K26-'Plan inversión'!K23-'Plan inversión'!K24)</f>
        <v>6482.7</v>
      </c>
      <c r="L9" s="54">
        <f>('Plan inversión'!L26-'Plan inversión'!L23-'Plan inversión'!L24)</f>
        <v>6806.835</v>
      </c>
      <c r="M9" s="54">
        <f>('Plan inversión'!M26-'Plan inversión'!M23-'Plan inversión'!M24)</f>
        <v>7699.9999999999991</v>
      </c>
      <c r="N9" s="54">
        <f>('Plan inversión'!N26-'Plan inversión'!N23-'Plan inversión'!N24)</f>
        <v>8084.9999999999991</v>
      </c>
      <c r="O9" s="54">
        <f>('Plan inversión'!O26-'Plan inversión'!O23-'Plan inversión'!O24)</f>
        <v>8489.25</v>
      </c>
      <c r="P9" s="54">
        <f>('Plan inversión'!P26-'Plan inversión'!P23-'Plan inversión'!P24)</f>
        <v>8913.7124999999996</v>
      </c>
      <c r="Q9" s="54">
        <f>('Plan inversión'!Q26-'Plan inversión'!Q23-'Plan inversión'!Q24)</f>
        <v>9359.3981249999997</v>
      </c>
      <c r="R9" s="54">
        <f>('Plan inversión'!R26-'Plan inversión'!R23-'Plan inversión'!R24)</f>
        <v>9827.3680312500001</v>
      </c>
      <c r="S9" s="54">
        <f>('Plan inversión'!S26-'Plan inversión'!S23-'Plan inversión'!S24)</f>
        <v>10318.7364328125</v>
      </c>
      <c r="T9" s="54">
        <f>('Plan inversión'!T26-'Plan inversión'!T23-'Plan inversión'!T24)</f>
        <v>10834.673254453126</v>
      </c>
      <c r="U9" s="54">
        <f>('Plan inversión'!U26-'Plan inversión'!U23-'Plan inversión'!U24)</f>
        <v>11376.406917175784</v>
      </c>
      <c r="V9" s="54">
        <f>('Plan inversión'!V26-'Plan inversión'!V23-'Plan inversión'!V24)</f>
        <v>11945.227263034574</v>
      </c>
      <c r="W9" s="54">
        <f>('Plan inversión'!W26-'Plan inversión'!W23-'Plan inversión'!W24)</f>
        <v>12542.488626186301</v>
      </c>
      <c r="X9" s="52">
        <f>IF('Plan inversión'!D8&gt;20,('Análisis proyecto'!W9*(1+'Plan inversión'!D10)/('Análisis proyecto'!F13-'Plan inversión'!D16)),"0")</f>
        <v>297312.33243275894</v>
      </c>
      <c r="Y9" s="13"/>
    </row>
    <row r="10" spans="1:25" ht="13.5" thickBot="1">
      <c r="A10" s="12"/>
      <c r="B10" s="56" t="s">
        <v>44</v>
      </c>
      <c r="C10" s="54">
        <f>-'Plan inversión'!D4</f>
        <v>-55000</v>
      </c>
      <c r="D10" s="54">
        <f>D9-('Plan financiación'!$C20+'Plan financiación'!$M20)</f>
        <v>-8800</v>
      </c>
      <c r="E10" s="54">
        <f>E9-('Plan financiación'!$C21+'Plan financiación'!$M21)</f>
        <v>-8461.1117081340617</v>
      </c>
      <c r="F10" s="54">
        <f>F9-('Plan financiación'!$C22+'Plan financiación'!$M22)</f>
        <v>-8103.9901187561682</v>
      </c>
      <c r="G10" s="54">
        <f>G9-('Plan financiación'!$C23+'Plan financiación'!$M23)</f>
        <v>-3287.6462340156004</v>
      </c>
      <c r="H10" s="54">
        <f>H9-('Plan financiación'!$C24+'Plan financiación'!$M24)</f>
        <v>2701.2155726965711</v>
      </c>
      <c r="I10" s="54">
        <f>I9-('Plan financiación'!$C25+'Plan financiación'!$M25)</f>
        <v>3248.1293757003446</v>
      </c>
      <c r="J10" s="54">
        <f>J9-('Plan financiación'!$C26+'Plan financiación'!$M26)</f>
        <v>3826.0999599254369</v>
      </c>
      <c r="K10" s="54">
        <f>K9-('Plan financiación'!$C27+'Plan financiación'!$M27)</f>
        <v>4436.9236689580039</v>
      </c>
      <c r="L10" s="54">
        <f>L9-('Plan financiación'!$C28+'Plan financiación'!$M28)</f>
        <v>5082.5027325692727</v>
      </c>
      <c r="M10" s="54">
        <f>M9-('Plan financiación'!$C29+'Plan financiación'!$M29)</f>
        <v>6181.0960883893658</v>
      </c>
      <c r="N10" s="54">
        <f>N9-('Plan financiación'!$C30+'Plan financiación'!$M30)</f>
        <v>6783.8501455586656</v>
      </c>
      <c r="O10" s="54">
        <f>O9-('Plan financiación'!$C31+'Plan financiación'!$M31)</f>
        <v>7418.9194461581246</v>
      </c>
      <c r="P10" s="54">
        <f>P9-('Plan financiación'!$C32+'Plan financiación'!$M32)</f>
        <v>8088.0504047935492</v>
      </c>
      <c r="Q10" s="54">
        <f>Q9-('Plan financiación'!$C33+'Plan financiación'!$M33)</f>
        <v>8793.0845959471008</v>
      </c>
      <c r="R10" s="54">
        <f>R9-('Plan financiación'!$C34+'Plan financiación'!$M34)</f>
        <v>9535.963982319865</v>
      </c>
      <c r="S10" s="54">
        <f>S9-('Plan financiación'!$C35+'Plan financiación'!$M35)</f>
        <v>10318.7364328125</v>
      </c>
      <c r="T10" s="54">
        <f>T9-('Plan financiación'!$C36+'Plan financiación'!$M36)</f>
        <v>10834.673254453126</v>
      </c>
      <c r="U10" s="54">
        <f>U9-('Plan financiación'!$C37+'Plan financiación'!$M37)</f>
        <v>11376.406917175784</v>
      </c>
      <c r="V10" s="54">
        <f>V9-('Plan financiación'!$C38+'Plan financiación'!$M38)</f>
        <v>11945.227263034574</v>
      </c>
      <c r="W10" s="101">
        <f>W9-('Plan financiación'!$C39+'Plan financiación'!$M39)</f>
        <v>12542.488626186301</v>
      </c>
      <c r="X10" s="52">
        <f>IF('Plan inversión'!D8&gt;20,('Análisis proyecto'!W10*(1+'Plan inversión'!D10)/('Análisis proyecto'!F13-'Plan inversión'!D16)),"0")</f>
        <v>297312.33243275894</v>
      </c>
      <c r="Y10" s="13"/>
    </row>
    <row r="11" spans="1:25" ht="13.5" thickBot="1">
      <c r="A11" s="12"/>
      <c r="B11" s="12"/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3"/>
    </row>
    <row r="12" spans="1:25" ht="13.5" thickBot="1">
      <c r="A12" s="43"/>
      <c r="B12" s="68" t="s">
        <v>37</v>
      </c>
      <c r="C12" s="52">
        <f>NPV(C16,D10:X10)-'Plan inversión'!D4</f>
        <v>102047.31702974971</v>
      </c>
      <c r="D12" s="12"/>
      <c r="E12" s="12"/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3"/>
    </row>
    <row r="13" spans="1:25" ht="13.5" thickBot="1">
      <c r="A13" s="43"/>
      <c r="B13" s="12"/>
      <c r="C13" s="12"/>
      <c r="D13" s="12"/>
      <c r="E13" s="63" t="s">
        <v>53</v>
      </c>
      <c r="F13" s="69">
        <f>+GEOMEAN(C16:W16)</f>
        <v>6.4295549228433363E-2</v>
      </c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3"/>
    </row>
    <row r="14" spans="1:25" ht="13.5" thickBot="1">
      <c r="A14" s="43"/>
      <c r="B14" s="68" t="s">
        <v>55</v>
      </c>
      <c r="C14" s="76">
        <f>IRR((C10:X10),C16)</f>
        <v>9.6404201526439054E-2</v>
      </c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3"/>
    </row>
    <row r="15" spans="1:25" ht="13.5" thickBot="1">
      <c r="A15" s="43"/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3"/>
    </row>
    <row r="16" spans="1:25" ht="13.5" thickBot="1">
      <c r="A16" s="43"/>
      <c r="B16" s="63" t="s">
        <v>52</v>
      </c>
      <c r="C16" s="105">
        <f>(('Plan financiación'!C4*'Plan financiación'!C11)+('Plan financiación'!C6*'Plan financiación'!C13*(1-'Plan inversión'!D12)))/('Plan financiación'!C6+'Plan financiación'!C4)</f>
        <v>4.5454545454545456E-2</v>
      </c>
      <c r="D16" s="106">
        <f>IF(MAX('Plan inversión'!$D$8,'Plan financiación'!$H$42)&gt;0,((('Plan financiación'!F7*'Plan financiación'!$C$11)+('Plan financiación'!C20*(1-'Plan inversión'!$D$12))+('Plan financiación'!M20*(1-'Plan inversión'!$D$12)))/('Plan financiación'!F7+'Plan financiación'!F8+'Plan financiación'!F9)),"0")</f>
        <v>4.9672131147540981E-2</v>
      </c>
      <c r="E16" s="106">
        <f>IF(MAX('Plan inversión'!$D$8,'Plan financiación'!$H$42)&gt;1,((('Plan financiación'!G7*'Plan financiación'!$C$11)+('Plan financiación'!C21*(1-'Plan inversión'!$D$12))+('Plan financiación'!M21*(1-'Plan inversión'!$D$12)))/('Plan financiación'!G7+'Plan financiación'!G8+'Plan financiación'!G9)),"0")</f>
        <v>5.2170384563015398E-2</v>
      </c>
      <c r="F16" s="106">
        <f>IF(MAX('Plan inversión'!$D$8,'Plan financiación'!$H$42)&gt;2,((('Plan financiación'!H7*'Plan financiación'!$C$11)+('Plan financiación'!C22*(1-'Plan inversión'!$D$12))+('Plan financiación'!M22*(1-'Plan inversión'!$D$12)))/('Plan financiación'!H7+'Plan financiación'!H8+'Plan financiación'!H9)),"0")</f>
        <v>5.4445561890279041E-2</v>
      </c>
      <c r="G16" s="106">
        <f>IF(MAX('Plan inversión'!$D$8,'Plan financiación'!$H$42)&gt;3,((('Plan financiación'!I7*'Plan financiación'!$C$11)+('Plan financiación'!C23*(1-'Plan inversión'!$D$12))+('Plan financiación'!M23*(1-'Plan inversión'!$D$12)))/('Plan financiación'!I7+'Plan financiación'!I8+'Plan financiación'!I9)),"0")</f>
        <v>5.6096479014533414E-2</v>
      </c>
      <c r="H16" s="106">
        <f>IF(MAX('Plan inversión'!$D$8,'Plan financiación'!$H$42)&gt;4,((('Plan financiación'!J7*'Plan financiación'!$C$11)+('Plan financiación'!C24*(1-'Plan inversión'!$D$12))+('Plan financiación'!M24*(1-'Plan inversión'!$D$12)))/('Plan financiación'!J7+'Plan financiación'!J8+'Plan financiación'!J9)),"0")</f>
        <v>5.8759087522983304E-2</v>
      </c>
      <c r="I16" s="106">
        <f>IF(MAX('Plan inversión'!$D$8,'Plan financiación'!$H$42)&gt;5,((('Plan financiación'!K7*'Plan financiación'!$C$11)+('Plan financiación'!C25*(1-'Plan inversión'!$D$12))+('Plan financiación'!M25*(1-'Plan inversión'!$D$12)))/('Plan financiación'!K7+'Plan financiación'!K8+'Plan financiación'!K9)),"0")</f>
        <v>6.037945159400001E-2</v>
      </c>
      <c r="J16" s="106">
        <f>IF(MAX('Plan inversión'!$D$8,'Plan financiación'!$H$42)&gt;6,((('Plan financiación'!L7*'Plan financiación'!$C$11)+('Plan financiación'!C26*(1-'Plan inversión'!$D$12))+('Plan financiación'!M26*(1-'Plan inversión'!$D$12)))/('Plan financiación'!L7+'Plan financiación'!L8+'Plan financiación'!L9)),"0")</f>
        <v>6.2038313372201052E-2</v>
      </c>
      <c r="K16" s="106">
        <f>IF(MAX('Plan inversión'!$D$8,'Plan financiación'!$H$42)&gt;7,((('Plan financiación'!M7*'Plan financiación'!$C$11)+('Plan financiación'!C27*(1-'Plan inversión'!$D$12))+('Plan financiación'!M27*(1-'Plan inversión'!$D$12)))/('Plan financiación'!M7+'Plan financiación'!M8+'Plan financiación'!M9)),"0")</f>
        <v>6.3737603167671839E-2</v>
      </c>
      <c r="L16" s="106">
        <f>IF(MAX('Plan inversión'!$D$8,'Plan financiación'!$H$42)&gt;8,((('Plan financiación'!N7*'Plan financiación'!$C$11)+('Plan financiación'!C28*(1-'Plan inversión'!$D$12))+('Plan financiación'!M28*(1-'Plan inversión'!$D$12)))/('Plan financiación'!N7+'Plan financiación'!N8+'Plan financiación'!N9)),"0")</f>
        <v>6.5479497817642798E-2</v>
      </c>
      <c r="M16" s="106">
        <f>IF(MAX('Plan inversión'!$D$8,'Plan financiación'!$H$42)&gt;9,((('Plan financiación'!O7*'Plan financiación'!$C$11)+('Plan financiación'!C29*(1-'Plan inversión'!$D$12))+('Plan financiación'!M29*(1-'Plan inversión'!$D$12)))/('Plan financiación'!O7+'Plan financiación'!O8+'Plan financiación'!O9)),"0")</f>
        <v>6.6634761898262798E-2</v>
      </c>
      <c r="N16" s="106">
        <f>IF(MAX('Plan inversión'!$D$8,'Plan financiación'!$H$42)&gt;10,((('Plan financiación'!P7*'Plan financiación'!$C$11)+('Plan financiación'!C30*(1-'Plan inversión'!$D$12))+('Plan financiación'!M30*(1-'Plan inversión'!$D$12)))/('Plan financiación'!P7+'Plan financiación'!P8+'Plan financiación'!P9)),"0")</f>
        <v>6.7823017974427094E-2</v>
      </c>
      <c r="O16" s="106">
        <f>IF(MAX('Plan inversión'!$D$8,'Plan financiación'!$H$42)&gt;11,((('Plan financiación'!Q7*'Plan financiación'!$C$11)+('Plan financiación'!C31*(1-'Plan inversión'!$D$12))+('Plan financiación'!M31*(1-'Plan inversión'!$D$12)))/('Plan financiación'!Q7+'Plan financiación'!Q8+'Plan financiación'!Q9)),"0")</f>
        <v>6.9142998926592203E-2</v>
      </c>
      <c r="P16" s="106">
        <f>IF(MAX('Plan inversión'!$D$8,'Plan financiación'!$H$42)&gt;12,((('Plan financiación'!R7*'Plan financiación'!$C$11)+('Plan financiación'!C32*(1-'Plan inversión'!$D$12))+('Plan financiación'!M32*(1-'Plan inversión'!$D$12)))/('Plan financiación'!R7+'Plan financiación'!R8+'Plan financiación'!R9)),"0")</f>
        <v>7.0530520018239784E-2</v>
      </c>
      <c r="Q16" s="106">
        <f>IF(MAX('Plan inversión'!$D$8,'Plan financiación'!$H$42)&gt;13,((('Plan financiación'!S7*'Plan financiación'!$C$11)+('Plan financiación'!C33*(1-'Plan inversión'!$D$12))+('Plan financiación'!M33*(1-'Plan inversión'!$D$12)))/('Plan financiación'!S7+'Plan financiación'!S8+'Plan financiación'!S9)),"0")</f>
        <v>7.1977601373142033E-2</v>
      </c>
      <c r="R16" s="106">
        <f>IF(MAX('Plan inversión'!$D$8,'Plan financiación'!$H$42)&gt;14,((('Plan financiación'!T7*'Plan financiación'!$C$11)+('Plan financiación'!C34*(1-'Plan inversión'!$D$12))+('Plan financiación'!M34*(1-'Plan inversión'!$D$12)))/('Plan financiación'!T7+'Plan financiación'!T8+'Plan financiación'!T9)),"0")</f>
        <v>7.3450853070973113E-2</v>
      </c>
      <c r="S16" s="106">
        <f>IF(MAX('Plan inversión'!$D$8,'Plan financiación'!$H$42)&gt;15,((('Plan financiación'!U7*'Plan financiación'!$C$11)+('Plan financiación'!C35*(1-'Plan inversión'!$D$12))+('Plan financiación'!M35*(1-'Plan inversión'!$D$12)))/('Plan financiación'!U7+'Plan financiación'!U8+'Plan financiación'!U9)),"0")</f>
        <v>7.4962456923103271E-2</v>
      </c>
      <c r="T16" s="106">
        <f>IF(MAX('Plan inversión'!$D$8,'Plan financiación'!$H$42)&gt;16,((('Plan financiación'!V7*'Plan financiación'!$C$11)+('Plan financiación'!C36*(1-'Plan inversión'!$D$12))+('Plan financiación'!M36*(1-'Plan inversión'!$D$12)))/('Plan financiación'!V7+'Plan financiación'!V8+'Plan financiación'!V9)),"0")</f>
        <v>7.5189635829877269E-2</v>
      </c>
      <c r="U16" s="106">
        <f>IF(MAX('Plan inversión'!$D$8,'Plan financiación'!$H$42)&gt;17,((('Plan financiación'!W7*'Plan financiación'!$C$11)+('Plan financiación'!C37*(1-'Plan inversión'!$D$12))+('Plan financiación'!M37*(1-'Plan inversión'!$D$12)))/('Plan financiación'!W7+'Plan financiación'!W8+'Plan financiación'!W9)),"0")</f>
        <v>7.5397208665962931E-2</v>
      </c>
      <c r="V16" s="106">
        <f>IF(MAX('Plan inversión'!$D$8,'Plan financiación'!$H$42)&gt;18,((('Plan financiación'!X7*'Plan financiación'!$C$11)+('Plan financiación'!C38*(1-'Plan inversión'!$D$12))+('Plan financiación'!M38*(1-'Plan inversión'!$D$12)))/('Plan financiación'!X7+'Plan financiación'!X8+'Plan financiación'!X9)),"0")</f>
        <v>7.5587608515529495E-2</v>
      </c>
      <c r="W16" s="106">
        <f>IF(MAX('Plan inversión'!$D$8,'Plan financiación'!$H$42)&gt;19,((('Plan financiación'!Y7*'Plan financiación'!$C$11)+('Plan financiación'!C39*(1-'Plan inversión'!$D$12))+('Plan financiación'!M39*(1-'Plan inversión'!$D$12)))/('Plan financiación'!Y7+'Plan financiación'!Y8+'Plan financiación'!Y9)),"0")</f>
        <v>7.5762881865306525E-2</v>
      </c>
      <c r="X16" s="12"/>
      <c r="Y16" s="13"/>
    </row>
    <row r="17" spans="1:25" ht="13.5" thickBot="1">
      <c r="A17" s="43"/>
      <c r="B17" s="12"/>
      <c r="C17" s="12"/>
      <c r="D17" s="12"/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  <c r="X17" s="12"/>
      <c r="Y17" s="13"/>
    </row>
    <row r="18" spans="1:25" ht="13.5" thickBot="1">
      <c r="A18" s="43"/>
      <c r="B18" s="51" t="s">
        <v>48</v>
      </c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3"/>
    </row>
    <row r="19" spans="1:25" ht="13.5" thickBot="1">
      <c r="A19" s="43"/>
      <c r="B19" s="65" t="s">
        <v>44</v>
      </c>
      <c r="C19" s="54">
        <f>C10</f>
        <v>-55000</v>
      </c>
      <c r="D19" s="54">
        <f>'Plan inversión'!D36-('Plan financiación'!$C20+'Plan financiación'!$M20)</f>
        <v>-7750</v>
      </c>
      <c r="E19" s="54">
        <f>'Plan inversión'!E36-('Plan financiación'!$C21+'Plan financiación'!$M21)</f>
        <v>-7358.6117081340617</v>
      </c>
      <c r="F19" s="54">
        <f>'Plan inversión'!F36-('Plan financiación'!$C22+'Plan financiación'!$M22)</f>
        <v>-6946.3651187561682</v>
      </c>
      <c r="G19" s="54">
        <f>'Plan inversión'!G36-('Plan financiación'!$C23+'Plan financiación'!$M23)</f>
        <v>-2072.1399840156</v>
      </c>
      <c r="H19" s="54">
        <f>'Plan inversión'!H36-('Plan financiación'!$C24+'Plan financiación'!$M24)</f>
        <v>4101.2155726965711</v>
      </c>
      <c r="I19" s="54">
        <f>'Plan inversión'!I36-('Plan financiación'!$C25+'Plan financiación'!$M25)</f>
        <v>4718.1293757003441</v>
      </c>
      <c r="J19" s="54">
        <f>'Plan inversión'!J36-('Plan financiación'!$C26+'Plan financiación'!$M26)</f>
        <v>5369.5999599254374</v>
      </c>
      <c r="K19" s="54">
        <f>'Plan inversión'!K36-('Plan financiación'!$C27+'Plan financiación'!$M27)</f>
        <v>6057.5986689580041</v>
      </c>
      <c r="L19" s="54">
        <f>'Plan inversión'!L36-('Plan financiación'!$C28+'Plan financiación'!$M28)</f>
        <v>6784.2114825692734</v>
      </c>
      <c r="M19" s="54">
        <f>'Plan inversión'!M36-('Plan financiación'!$C29+'Plan financiación'!$M29)</f>
        <v>8106.0960883893649</v>
      </c>
      <c r="N19" s="54">
        <f>'Plan inversión'!N36-('Plan financiación'!$C30+'Plan financiación'!$M30)</f>
        <v>8805.1001455586647</v>
      </c>
      <c r="O19" s="54">
        <f>'Plan inversión'!O36-('Plan financiación'!$C31+'Plan financiación'!$M31)</f>
        <v>9541.2319461581246</v>
      </c>
      <c r="P19" s="54">
        <f>'Plan inversión'!P36-('Plan financiación'!$C32+'Plan financiación'!$M32)</f>
        <v>10316.47852979355</v>
      </c>
      <c r="Q19" s="54">
        <f>'Plan inversión'!Q36-('Plan financiación'!$C33+'Plan financiación'!$M33)</f>
        <v>11132.934127197101</v>
      </c>
      <c r="R19" s="54">
        <f>'Plan inversión'!R36-('Plan financiación'!$C34+'Plan financiación'!$M34)</f>
        <v>11992.805990132365</v>
      </c>
      <c r="S19" s="54">
        <f>'Plan inversión'!S36-('Plan financiación'!$C35+'Plan financiación'!$M35)</f>
        <v>12898.420541015625</v>
      </c>
      <c r="T19" s="54">
        <f>'Plan inversión'!T36-('Plan financiación'!$C36+'Plan financiación'!$M36)</f>
        <v>13543.341568066407</v>
      </c>
      <c r="U19" s="54">
        <f>'Plan inversión'!U36-('Plan financiación'!$C37+'Plan financiación'!$M37)</f>
        <v>14220.508646469731</v>
      </c>
      <c r="V19" s="54">
        <f>'Plan inversión'!V36-('Plan financiación'!$C38+'Plan financiación'!$M38)</f>
        <v>14931.534078793218</v>
      </c>
      <c r="W19" s="101">
        <f>'Plan inversión'!W36-('Plan financiación'!$C39+'Plan financiación'!$M39)</f>
        <v>15678.110782732876</v>
      </c>
      <c r="X19" s="52">
        <f>IF('Plan inversión'!D8&gt;20,('Análisis proyecto'!W19*(1+'Plan inversión'!D10)/('Análisis proyecto'!F13-'Plan inversión'!D16)),"0")</f>
        <v>371640.41554094863</v>
      </c>
      <c r="Y19" s="13"/>
    </row>
    <row r="20" spans="1:25" ht="13.5" thickBot="1">
      <c r="A20" s="43"/>
      <c r="B20" s="70" t="s">
        <v>37</v>
      </c>
      <c r="C20" s="52">
        <f>NPV(C16,D19:X19)-'Plan inversión'!D4</f>
        <v>154844.24485697452</v>
      </c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3"/>
    </row>
    <row r="21" spans="1:25" ht="13.5" thickBot="1">
      <c r="A21" s="43"/>
      <c r="B21" s="77" t="s">
        <v>55</v>
      </c>
      <c r="C21" s="76">
        <f>IRR(C19:X19,F13)</f>
        <v>0.11620528507626184</v>
      </c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13"/>
    </row>
    <row r="22" spans="1:25" ht="13.5" thickBot="1">
      <c r="A22" s="43"/>
      <c r="B22" s="12"/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13"/>
    </row>
    <row r="23" spans="1:25" ht="13.5" thickBot="1">
      <c r="A23" s="43"/>
      <c r="B23" s="51" t="s">
        <v>50</v>
      </c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3"/>
    </row>
    <row r="24" spans="1:25" ht="13.5" thickBot="1">
      <c r="A24" s="43"/>
      <c r="B24" s="65" t="s">
        <v>44</v>
      </c>
      <c r="C24" s="54">
        <f>C10</f>
        <v>-55000</v>
      </c>
      <c r="D24" s="54">
        <f>'Plan inversión'!D43-('Plan financiación'!$C20+'Plan financiación'!$M20)</f>
        <v>-9850</v>
      </c>
      <c r="E24" s="54">
        <f>'Plan inversión'!E43-('Plan financiación'!$C21+'Plan financiación'!$M21)</f>
        <v>-9563.6117081340617</v>
      </c>
      <c r="F24" s="54">
        <f>'Plan inversión'!F43-('Plan financiación'!$C22+'Plan financiación'!$M22)</f>
        <v>-9261.6151187561682</v>
      </c>
      <c r="G24" s="54">
        <f>'Plan inversión'!G43-('Plan financiación'!$C23+'Plan financiación'!$M23)</f>
        <v>-4503.1524840155998</v>
      </c>
      <c r="H24" s="54">
        <f>'Plan inversión'!H43-('Plan financiación'!$C24+'Plan financiación'!$M24)</f>
        <v>1301.2155726965711</v>
      </c>
      <c r="I24" s="54">
        <f>'Plan inversión'!I43-('Plan financiación'!$C25+'Plan financiación'!$M25)</f>
        <v>1778.1293757003446</v>
      </c>
      <c r="J24" s="54">
        <f>'Plan inversión'!J43-('Plan financiación'!$C26+'Plan financiación'!$M26)</f>
        <v>2282.5999599254369</v>
      </c>
      <c r="K24" s="54">
        <f>'Plan inversión'!K43-('Plan financiación'!$C27+'Plan financiación'!$M27)</f>
        <v>2816.2486689580037</v>
      </c>
      <c r="L24" s="54">
        <f>'Plan inversión'!L43-('Plan financiación'!$C28+'Plan financiación'!$M28)</f>
        <v>3380.7939825692729</v>
      </c>
      <c r="M24" s="54">
        <f>'Plan inversión'!M43-('Plan financiación'!$C29+'Plan financiación'!$M29)</f>
        <v>4256.0960883893658</v>
      </c>
      <c r="N24" s="54">
        <f>'Plan inversión'!N43-('Plan financiación'!$C30+'Plan financiación'!$M30)</f>
        <v>4762.6001455586656</v>
      </c>
      <c r="O24" s="54">
        <f>'Plan inversión'!O43-('Plan financiación'!$C31+'Plan financiación'!$M31)</f>
        <v>5296.6069461581246</v>
      </c>
      <c r="P24" s="54">
        <f>'Plan inversión'!P43-('Plan financiación'!$C32+'Plan financiación'!$M32)</f>
        <v>5859.6222797935488</v>
      </c>
      <c r="Q24" s="54">
        <f>'Plan inversión'!Q43-('Plan financiación'!$C33+'Plan financiación'!$M33)</f>
        <v>6453.2350646971008</v>
      </c>
      <c r="R24" s="54">
        <f>'Plan inversión'!R43-('Plan financiación'!$C34+'Plan financiación'!$M34)</f>
        <v>7079.1219745073649</v>
      </c>
      <c r="S24" s="54">
        <f>'Plan inversión'!S43-('Plan financiación'!$C35+'Plan financiación'!$M35)</f>
        <v>7739.0523246093753</v>
      </c>
      <c r="T24" s="54">
        <f>'Plan inversión'!T43-('Plan financiación'!$C36+'Plan financiación'!$M36)</f>
        <v>8126.0049408398445</v>
      </c>
      <c r="U24" s="54">
        <f>'Plan inversión'!U43-('Plan financiación'!$C37+'Plan financiación'!$M37)</f>
        <v>8532.3051878818369</v>
      </c>
      <c r="V24" s="54">
        <f>'Plan inversión'!V43-('Plan financiación'!$C38+'Plan financiación'!$M38)</f>
        <v>8958.9204472759302</v>
      </c>
      <c r="W24" s="101">
        <f>'Plan inversión'!W43-('Plan financiación'!$C39+'Plan financiación'!$M39)</f>
        <v>9406.8664696397263</v>
      </c>
      <c r="X24" s="52">
        <f>IF('Plan inversión'!D8&gt;20,('Análisis proyecto'!W24*(1+'Plan inversión'!D10)/('Análisis proyecto'!F13-'Plan inversión'!D16)),"0")</f>
        <v>222984.24932456919</v>
      </c>
      <c r="Y24" s="13"/>
    </row>
    <row r="25" spans="1:25" ht="13.5" thickBot="1">
      <c r="A25" s="43"/>
      <c r="B25" s="70" t="s">
        <v>37</v>
      </c>
      <c r="C25" s="54">
        <f>NPV(C16,D24:X24)-'Plan inversión'!D4</f>
        <v>49250.389202524922</v>
      </c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3"/>
    </row>
    <row r="26" spans="1:25" ht="13.5" thickBot="1">
      <c r="A26" s="43"/>
      <c r="B26" s="77" t="s">
        <v>55</v>
      </c>
      <c r="C26" s="76">
        <f>IRR(C24:X24,F13)</f>
        <v>7.3043357726603572E-2</v>
      </c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3"/>
    </row>
    <row r="27" spans="1:25" ht="13.5" thickBot="1">
      <c r="A27" s="26"/>
      <c r="B27" s="26"/>
      <c r="C27" s="26"/>
      <c r="D27" s="26"/>
      <c r="E27" s="26"/>
      <c r="F27" s="26"/>
      <c r="G27" s="26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6"/>
      <c r="T27" s="26"/>
      <c r="U27" s="26"/>
      <c r="V27" s="26"/>
      <c r="W27" s="26"/>
      <c r="X27" s="26"/>
      <c r="Y27" s="27"/>
    </row>
    <row r="28" spans="1:25" ht="13.5" thickBot="1">
      <c r="A28" s="43"/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3"/>
    </row>
    <row r="29" spans="1:25" ht="13.5" thickBot="1">
      <c r="A29" s="43"/>
      <c r="B29" s="12"/>
      <c r="C29" s="12"/>
      <c r="D29" s="44" t="str">
        <f>IF(MAX('Plan inversión'!$D$8,'Plan financiación'!$H$42)&gt;0,"Año 1","")</f>
        <v>Año 1</v>
      </c>
      <c r="E29" s="45" t="str">
        <f>IF(MAX('Plan inversión'!$D$8,'Plan financiación'!$H$42)&gt;1,"Año 2","")</f>
        <v>Año 2</v>
      </c>
      <c r="F29" s="45" t="str">
        <f>IF(MAX('Plan inversión'!$D$8,'Plan financiación'!$H$42)&gt;2,"Año 3","")</f>
        <v>Año 3</v>
      </c>
      <c r="G29" s="45" t="str">
        <f>IF(MAX('Plan inversión'!$D$8,'Plan financiación'!$H$42)&gt;3,"Año 4","")</f>
        <v>Año 4</v>
      </c>
      <c r="H29" s="45" t="str">
        <f>IF(MAX('Plan inversión'!$D$8,'Plan financiación'!$H$42)&gt;4,"Año 5","")</f>
        <v>Año 5</v>
      </c>
      <c r="I29" s="45" t="str">
        <f>IF(MAX('Plan inversión'!$D$8,'Plan financiación'!$H$42)&gt;5,"Año 6","")</f>
        <v>Año 6</v>
      </c>
      <c r="J29" s="45" t="str">
        <f>IF(MAX('Plan inversión'!$D$8,'Plan financiación'!$H$42)&gt;6,"Año 7","")</f>
        <v>Año 7</v>
      </c>
      <c r="K29" s="45" t="str">
        <f>IF(MAX('Plan inversión'!$D$8,'Plan financiación'!$H$42)&gt;7,"Año 8","")</f>
        <v>Año 8</v>
      </c>
      <c r="L29" s="45" t="str">
        <f>IF(MAX('Plan inversión'!$D$8,'Plan financiación'!$H$42)&gt;8,"Año 9","")</f>
        <v>Año 9</v>
      </c>
      <c r="M29" s="45" t="str">
        <f>IF(MAX('Plan inversión'!$D$8,'Plan financiación'!$H$42)&gt;9,"Año 10","")</f>
        <v>Año 10</v>
      </c>
      <c r="N29" s="45" t="str">
        <f>IF(MAX('Plan inversión'!$D$8,'Plan financiación'!$H$42)&gt;10,"Año 11","")</f>
        <v>Año 11</v>
      </c>
      <c r="O29" s="45" t="str">
        <f>IF(MAX('Plan inversión'!$D$8,'Plan financiación'!$H$42)&gt;11,"Año 12","")</f>
        <v>Año 12</v>
      </c>
      <c r="P29" s="45" t="str">
        <f>IF(MAX('Plan inversión'!$D$8,'Plan financiación'!$H$42)&gt;12,"Año 13","")</f>
        <v>Año 13</v>
      </c>
      <c r="Q29" s="45" t="str">
        <f>IF(MAX('Plan inversión'!$D$8,'Plan financiación'!$H$42)&gt;13,"Año 14","")</f>
        <v>Año 14</v>
      </c>
      <c r="R29" s="45" t="str">
        <f>IF(MAX('Plan inversión'!$D$8,'Plan financiación'!$H$42)&gt;14,"Año 15","")</f>
        <v>Año 15</v>
      </c>
      <c r="S29" s="45" t="str">
        <f>IF(MAX('Plan inversión'!$D$8,'Plan financiación'!$H$42)&gt;15,"Año 16","")</f>
        <v>Año 16</v>
      </c>
      <c r="T29" s="45" t="str">
        <f>IF(MAX('Plan inversión'!$D$8,'Plan financiación'!$H$42)&gt;16,"Año 17","")</f>
        <v>Año 17</v>
      </c>
      <c r="U29" s="45" t="str">
        <f>IF(MAX('Plan inversión'!$D$8,'Plan financiación'!$H$42)&gt;17,"Año 18","")</f>
        <v>Año 18</v>
      </c>
      <c r="V29" s="45" t="str">
        <f>IF(MAX('Plan inversión'!$D$8,'Plan financiación'!$H$42)&gt;18,"Año 19","")</f>
        <v>Año 19</v>
      </c>
      <c r="W29" s="46" t="str">
        <f>IF(MAX('Plan inversión'!$D$8,'Plan financiación'!$H$42)&gt;19,"Año 20","")</f>
        <v>Año 20</v>
      </c>
      <c r="X29" s="12"/>
      <c r="Y29" s="13"/>
    </row>
    <row r="30" spans="1:25" ht="13.5" thickBot="1">
      <c r="A30" s="43"/>
      <c r="B30" s="12"/>
      <c r="C30" s="43"/>
      <c r="D30" s="43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3"/>
    </row>
    <row r="31" spans="1:25" ht="13.5" thickBot="1">
      <c r="A31" s="43"/>
      <c r="B31" s="157" t="s">
        <v>8</v>
      </c>
      <c r="C31" s="158"/>
      <c r="D31" s="86">
        <f>IF(MAX('Plan inversión'!$D$8,'Plan financiación'!$H$42)&gt;0,D33-D34,"0")</f>
        <v>1700</v>
      </c>
      <c r="E31" s="86">
        <f>IF(MAX('Plan inversión'!$D$8,'Plan financiación'!$H$42)&gt;1,E33-E34,"0")</f>
        <v>2000.2218043061566</v>
      </c>
      <c r="F31" s="86">
        <f>IF(MAX('Plan inversión'!$D$8,'Plan financiación'!$H$42)&gt;2,F33-F34,"0")</f>
        <v>2316.3569168706827</v>
      </c>
      <c r="G31" s="86">
        <f>IF(MAX('Plan inversión'!$D$8,'Plan financiación'!$H$42)&gt;3,G33-G34,"0")</f>
        <v>2257.2551361890796</v>
      </c>
      <c r="H31" s="86">
        <f>IF(MAX('Plan inversión'!$D$8,'Plan financiación'!$H$42)&gt;4,H33-H34,"0")</f>
        <v>3170.8509008875999</v>
      </c>
      <c r="I31" s="86">
        <f>IF(MAX('Plan inversión'!$D$8,'Plan financiación'!$H$42)&gt;5,I33-I34,"0")</f>
        <v>3637.6905629902412</v>
      </c>
      <c r="J31" s="86">
        <f>IF(MAX('Plan inversión'!$D$8,'Plan financiación'!$H$42)&gt;6,J33-J34,"0")</f>
        <v>4130.4699719478058</v>
      </c>
      <c r="K31" s="86">
        <f>IF(MAX('Plan inversión'!$D$8,'Plan financiación'!$H$42)&gt;7,K33-K34,"0")</f>
        <v>4650.6565682706041</v>
      </c>
      <c r="L31" s="86">
        <f>IF(MAX('Plan inversión'!$D$8,'Plan financiación'!$H$42)&gt;8,L33-L34,"0")</f>
        <v>5199.8024127984918</v>
      </c>
      <c r="M31" s="86">
        <f>IF(MAX('Plan inversión'!$D$8,'Plan financiación'!$H$42)&gt;9,M33-M34,"0")</f>
        <v>6236.7672618725564</v>
      </c>
      <c r="N31" s="86">
        <f>IF(MAX('Plan inversión'!$D$8,'Plan financiación'!$H$42)&gt;10,N33-N34,"0")</f>
        <v>6774.1951018910668</v>
      </c>
      <c r="O31" s="86">
        <f>IF(MAX('Plan inversión'!$D$8,'Plan financiación'!$H$42)&gt;11,O33-O34,"0")</f>
        <v>7340.0186123106869</v>
      </c>
      <c r="P31" s="86">
        <f>IF(MAX('Plan inversión'!$D$8,'Plan financiación'!$H$42)&gt;12,P33-P34,"0")</f>
        <v>7935.7490333554842</v>
      </c>
      <c r="Q31" s="86">
        <f>IF(MAX('Plan inversión'!$D$8,'Plan financiación'!$H$42)&gt;13,Q33-Q34,"0")</f>
        <v>8562.9786546629693</v>
      </c>
      <c r="R31" s="86">
        <f>IF(MAX('Plan inversión'!$D$8,'Plan financiación'!$H$42)&gt;14,R33-R34,"0")</f>
        <v>9223.3851969989046</v>
      </c>
      <c r="S31" s="86">
        <f>IF(MAX('Plan inversión'!$D$8,'Plan financiación'!$H$42)&gt;15,S33-S34,"0")</f>
        <v>9918.7364328125004</v>
      </c>
      <c r="T31" s="86">
        <f>IF(MAX('Plan inversión'!$D$8,'Plan financiación'!$H$42)&gt;16,T33-T34,"0")</f>
        <v>10434.673254453126</v>
      </c>
      <c r="U31" s="86">
        <f>IF(MAX('Plan inversión'!$D$8,'Plan financiación'!$H$42)&gt;17,U33-U34,"0")</f>
        <v>10976.406917175784</v>
      </c>
      <c r="V31" s="86">
        <f>IF(MAX('Plan inversión'!$D$8,'Plan financiación'!$H$42)&gt;18,V33-V34,"0")</f>
        <v>11545.227263034574</v>
      </c>
      <c r="W31" s="87">
        <f>IF(MAX('Plan inversión'!$D$8,'Plan financiación'!$H$42)&gt;19,W33-W34,"0")</f>
        <v>12142.488626186303</v>
      </c>
      <c r="X31" s="12"/>
      <c r="Y31" s="13"/>
    </row>
    <row r="32" spans="1:25" ht="13.5" thickBot="1">
      <c r="A32" s="43"/>
      <c r="B32" s="12"/>
      <c r="C32" s="43"/>
      <c r="D32" s="88"/>
      <c r="E32" s="89"/>
      <c r="F32" s="89"/>
      <c r="G32" s="89"/>
      <c r="H32" s="89"/>
      <c r="I32" s="89"/>
      <c r="J32" s="89"/>
      <c r="K32" s="89"/>
      <c r="L32" s="89"/>
      <c r="M32" s="89"/>
      <c r="N32" s="89"/>
      <c r="O32" s="89"/>
      <c r="P32" s="89"/>
      <c r="Q32" s="89"/>
      <c r="R32" s="89"/>
      <c r="S32" s="89"/>
      <c r="T32" s="89"/>
      <c r="U32" s="89"/>
      <c r="V32" s="89"/>
      <c r="W32" s="89"/>
      <c r="X32" s="89"/>
      <c r="Y32" s="13"/>
    </row>
    <row r="33" spans="1:25" ht="13.5" thickBot="1">
      <c r="A33" s="43"/>
      <c r="B33" s="155" t="s">
        <v>13</v>
      </c>
      <c r="C33" s="156"/>
      <c r="D33" s="90">
        <f>IF('Plan inversión'!$D$8&gt;0,('Plan inversión'!$D$25-('Plan inversión'!$D$25*'Plan inversión'!$D$12)),"0")</f>
        <v>4200</v>
      </c>
      <c r="E33" s="91">
        <f>IF('Plan inversión'!$D$8&gt;1,('Plan inversión'!$E$25-('Plan inversión'!$E$25*'Plan inversión'!$D$12)),"0")</f>
        <v>4410</v>
      </c>
      <c r="F33" s="91">
        <f>IF('Plan inversión'!$D$8&gt;2,('Plan inversión'!$F$25-('Plan inversión'!$F$25*'Plan inversión'!$D$12)),"0")</f>
        <v>4630.5</v>
      </c>
      <c r="G33" s="91">
        <f>IF('Plan inversión'!$D$8&gt;3,('Plan inversión'!$G$25-('Plan inversión'!$G$25*'Plan inversión'!$D$12)),"0")</f>
        <v>4862.0249999999996</v>
      </c>
      <c r="H33" s="91">
        <f>IF('Plan inversión'!$D$8&gt;4,('Plan inversión'!$H$25-('Plan inversión'!$H$25*'Plan inversión'!$D$12)),"0")</f>
        <v>5600</v>
      </c>
      <c r="I33" s="91">
        <f>IF('Plan inversión'!$D$8&gt;5,('Plan inversión'!$I$25-('Plan inversión'!$I$25*'Plan inversión'!$D$12)),"0")</f>
        <v>5880</v>
      </c>
      <c r="J33" s="91">
        <f>IF('Plan inversión'!$D$8&gt;6,('Plan inversión'!$J$25-('Plan inversión'!$J$25*'Plan inversión'!$D$12)),"0")</f>
        <v>6174</v>
      </c>
      <c r="K33" s="91">
        <f>IF('Plan inversión'!$D$8&gt;7,('Plan inversión'!$K$25-('Plan inversión'!$K$25*'Plan inversión'!$D$12)),"0")</f>
        <v>6482.7000000000007</v>
      </c>
      <c r="L33" s="91">
        <f>IF('Plan inversión'!$D$8&gt;8,('Plan inversión'!$L$25-('Plan inversión'!$L$25*'Plan inversión'!$D$12)),"0")</f>
        <v>6806.8350000000009</v>
      </c>
      <c r="M33" s="91">
        <f>IF('Plan inversión'!$D$8&gt;9,('Plan inversión'!$M$25-('Plan inversión'!$M$25*'Plan inversión'!$D$12)),"0")</f>
        <v>7700</v>
      </c>
      <c r="N33" s="91">
        <f>IF('Plan inversión'!$D$8&gt;10,('Plan inversión'!$N$25-('Plan inversión'!$N$25*'Plan inversión'!$D$12)),"0")</f>
        <v>8085</v>
      </c>
      <c r="O33" s="91">
        <f>IF('Plan inversión'!$D$8&gt;11,('Plan inversión'!$O$25-('Plan inversión'!$O$25*'Plan inversión'!$D$12)),"0")</f>
        <v>8489.25</v>
      </c>
      <c r="P33" s="91">
        <f>IF('Plan inversión'!$D$8&gt;12,('Plan inversión'!$P$25-('Plan inversión'!$P$25*'Plan inversión'!$D$12)),"0")</f>
        <v>8913.7124999999996</v>
      </c>
      <c r="Q33" s="91">
        <f>IF('Plan inversión'!$D$8&gt;13,('Plan inversión'!$Q$25-('Plan inversión'!$Q$25*'Plan inversión'!$D$12)),"0")</f>
        <v>9359.3981249999997</v>
      </c>
      <c r="R33" s="91">
        <f>IF('Plan inversión'!$D$8&gt;14,('Plan inversión'!$R$25-('Plan inversión'!$R$25*'Plan inversión'!$D$12)),"0")</f>
        <v>9827.3680312500001</v>
      </c>
      <c r="S33" s="91">
        <f>IF('Plan inversión'!$D$8&gt;15,('Plan inversión'!$S$25-('Plan inversión'!$S$25*'Plan inversión'!$D$12)),"0")</f>
        <v>10318.7364328125</v>
      </c>
      <c r="T33" s="91">
        <f>IF('Plan inversión'!$D$8&gt;16,('Plan inversión'!$T$25-('Plan inversión'!$T$25*'Plan inversión'!$D$12)),"0")</f>
        <v>10834.673254453126</v>
      </c>
      <c r="U33" s="91">
        <f>IF('Plan inversión'!$D$8&gt;17,('Plan inversión'!$U$25-('Plan inversión'!$U$25*'Plan inversión'!$D$12)),"0")</f>
        <v>11376.406917175784</v>
      </c>
      <c r="V33" s="91">
        <f>IF('Plan inversión'!$D$8&gt;18,('Plan inversión'!$V$25-('Plan inversión'!$V$25*'Plan inversión'!$D$12)),"0")</f>
        <v>11945.227263034574</v>
      </c>
      <c r="W33" s="92">
        <f>IF('Plan inversión'!$D$8&gt;19,('Plan inversión'!$W$25-('Plan inversión'!$W$25*'Plan inversión'!$D$12)),"0")</f>
        <v>12542.488626186303</v>
      </c>
      <c r="X33" s="12"/>
      <c r="Y33" s="13"/>
    </row>
    <row r="34" spans="1:25" ht="13.5" thickBot="1">
      <c r="A34" s="43"/>
      <c r="B34" s="155" t="s">
        <v>14</v>
      </c>
      <c r="C34" s="156"/>
      <c r="D34" s="93">
        <f>IF(MAX('Plan inversión'!$D$8,'Plan financiación'!$H$42)&gt;0,('Plan financiación'!C20+'Plan financiación'!M20)*(1-'Plan inversión'!D12)+('Plan financiación'!$C$4*'Plan financiación'!$C$11),"0")</f>
        <v>2500</v>
      </c>
      <c r="E34" s="94">
        <f>IF(MAX('Plan inversión'!$D$8,'Plan financiación'!$H$42)&gt;1,('Plan financiación'!C21+'Plan financiación'!M21)*(1-'Plan inversión'!D12)+('Plan financiación'!$C$4*'Plan financiación'!$C$11),"0")</f>
        <v>2409.7781956938434</v>
      </c>
      <c r="F34" s="94">
        <f>IF(MAX('Plan inversión'!$D$8,'Plan financiación'!$H$42)&gt;2,('Plan financiación'!C22+'Plan financiación'!M22)*(1-'Plan inversión'!$D$12)+('Plan financiación'!$C$4*'Plan financiación'!$C$11),"0")</f>
        <v>2314.1430831293173</v>
      </c>
      <c r="G34" s="94">
        <f>IF(MAX('Plan inversión'!$D$8,'Plan financiación'!$H$42)&gt;3,('Plan financiación'!C23+'Plan financiación'!M23)*(1-'Plan inversión'!$D$12)+('Plan financiación'!$C$4*'Plan financiación'!$C$11),"0")</f>
        <v>2604.76986381092</v>
      </c>
      <c r="H34" s="94">
        <f>IF(MAX('Plan inversión'!$D$8,'Plan financiación'!$H$42)&gt;4,('Plan financiación'!C24+'Plan financiación'!M24)*(1-'Plan inversión'!$D$12)+('Plan financiación'!$C$4*'Plan financiación'!$C$11),"0")</f>
        <v>2429.1490991124001</v>
      </c>
      <c r="I34" s="94">
        <f>IF(MAX('Plan inversión'!$D$8,'Plan financiación'!$H$42)&gt;5,('Plan financiación'!C25+'Plan financiación'!M25)*(1-'Plan inversión'!$D$12)+('Plan financiación'!$C$4*'Plan financiación'!$C$11),"0")</f>
        <v>2242.3094370097588</v>
      </c>
      <c r="J34" s="94">
        <f>IF(MAX('Plan inversión'!$D$8,'Plan financiación'!$H$42)&gt;6,('Plan financiación'!C26+'Plan financiación'!M26)*(1-'Plan inversión'!$D$12)+('Plan financiación'!$C$4*'Plan financiación'!$C$11),"0")</f>
        <v>2043.530028052194</v>
      </c>
      <c r="K34" s="94">
        <f>IF(MAX('Plan inversión'!$D$8,'Plan financiación'!$H$42)&gt;7,('Plan financiación'!C27+'Plan financiación'!M27)*(1-'Plan inversión'!$D$12)+('Plan financiación'!$C$4*'Plan financiación'!$C$11),"0")</f>
        <v>1832.0434317293971</v>
      </c>
      <c r="L34" s="94">
        <f>IF(MAX('Plan inversión'!$D$8,'Plan financiación'!$H$42)&gt;8,('Plan financiación'!C28+'Plan financiación'!M28)*(1-'Plan inversión'!$D$12)+('Plan financiación'!$C$4*'Plan financiación'!$C$11),"0")</f>
        <v>1607.0325872015092</v>
      </c>
      <c r="M34" s="94">
        <f>IF(MAX('Plan inversión'!$D$8,'Plan financiación'!$H$42)&gt;9,('Plan financiación'!C29+'Plan financiación'!M29)*(1-'Plan inversión'!$D$12)+('Plan financiación'!$C$4*'Plan financiación'!$C$11),"0")</f>
        <v>1463.2327381274433</v>
      </c>
      <c r="N34" s="94">
        <f>IF(MAX('Plan inversión'!$D$8,'Plan financiación'!$H$42)&gt;10,('Plan financiación'!C30+'Plan financiación'!M30)*(1-'Plan inversión'!$D$12)+('Plan financiación'!$C$4*'Plan financiación'!$C$11),"0")</f>
        <v>1310.8048981089332</v>
      </c>
      <c r="O34" s="94">
        <f>IF(MAX('Plan inversión'!$D$8,'Plan financiación'!$H$42)&gt;11,('Plan financiación'!C31+'Plan financiación'!M31)*(1-'Plan inversión'!$D$12)+('Plan financiación'!$C$4*'Plan financiación'!$C$11),"0")</f>
        <v>1149.2313876893129</v>
      </c>
      <c r="P34" s="94">
        <f>IF(MAX('Plan inversión'!$D$8,'Plan financiación'!$H$42)&gt;12,('Plan financiación'!C32+'Plan financiación'!M32)*(1-'Plan inversión'!$D$12)+('Plan financiación'!$C$4*'Plan financiación'!$C$11),"0")</f>
        <v>977.96346664451505</v>
      </c>
      <c r="Q34" s="94">
        <f>IF(MAX('Plan inversión'!$D$8,'Plan financiación'!$H$42)&gt;13,('Plan financiación'!C33+'Plan financiación'!M33)*(1-'Plan inversión'!$D$12)+('Plan financiación'!$C$4*'Plan financiación'!$C$11),"0")</f>
        <v>796.41947033702957</v>
      </c>
      <c r="R34" s="94">
        <f>IF(MAX('Plan inversión'!$D$8,'Plan financiación'!$H$42)&gt;14,('Plan financiación'!C34+'Plan financiación'!M34)*(1-'Plan inversión'!$D$12)+('Plan financiación'!$C$4*'Plan financiación'!$C$11),"0")</f>
        <v>603.9828342510948</v>
      </c>
      <c r="S34" s="94">
        <f>IF(MAX('Plan inversión'!$D$8,'Plan financiación'!$H$42)&gt;15,('Plan financiación'!C35+'Plan financiación'!M35)*(1-'Plan inversión'!$D$12)+('Plan financiación'!$C$4*'Plan financiación'!$C$11),"0")</f>
        <v>400</v>
      </c>
      <c r="T34" s="94">
        <f>IF(MAX('Plan inversión'!$D$8,'Plan financiación'!$H$42)&gt;16,('Plan financiación'!C36+'Plan financiación'!M36)*(1-'Plan inversión'!$D$12)+('Plan financiación'!$C$4*'Plan financiación'!$C$11),"0")</f>
        <v>400</v>
      </c>
      <c r="U34" s="94">
        <f>IF(MAX('Plan inversión'!$D$8,'Plan financiación'!$H$42)&gt;17,('Plan financiación'!C37+'Plan financiación'!M37)*(1-'Plan inversión'!$D$12)+('Plan financiación'!$C$4*'Plan financiación'!$C$11),"0")</f>
        <v>400</v>
      </c>
      <c r="V34" s="94">
        <f>IF(MAX('Plan inversión'!$D$8,'Plan financiación'!$H$42)&gt;18,('Plan financiación'!C38+'Plan financiación'!M38)*(1-'Plan inversión'!$D$12)+('Plan financiación'!$C$4*'Plan financiación'!$C$11),"0")</f>
        <v>400</v>
      </c>
      <c r="W34" s="95">
        <f>IF(MAX('Plan inversión'!$D$8,'Plan financiación'!$H$42)&gt;19,('Plan financiación'!C39+'Plan financiación'!M39)*(1-'Plan inversión'!$D$12)+('Plan financiación'!$C$4*'Plan financiación'!$C$11),"0")</f>
        <v>400</v>
      </c>
      <c r="X34" s="12"/>
      <c r="Y34" s="13"/>
    </row>
    <row r="35" spans="1:25">
      <c r="A35" s="43"/>
      <c r="B35" s="12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/>
      <c r="T35" s="12"/>
      <c r="U35" s="12"/>
      <c r="V35" s="12"/>
      <c r="W35" s="12"/>
      <c r="X35" s="12"/>
      <c r="Y35" s="13"/>
    </row>
    <row r="36" spans="1:25">
      <c r="A36" s="43"/>
      <c r="B36" s="12"/>
      <c r="C36" s="53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2"/>
      <c r="P36" s="12"/>
      <c r="Q36" s="12"/>
      <c r="R36" s="12"/>
      <c r="S36" s="12"/>
      <c r="T36" s="12"/>
      <c r="U36" s="12"/>
      <c r="V36" s="12"/>
      <c r="W36" s="12"/>
      <c r="X36" s="12"/>
      <c r="Y36" s="13"/>
    </row>
    <row r="37" spans="1:25" ht="13.5" thickBot="1">
      <c r="A37" s="26"/>
      <c r="B37" s="26"/>
      <c r="C37" s="26"/>
      <c r="D37" s="26"/>
      <c r="E37" s="26"/>
      <c r="F37" s="26"/>
      <c r="G37" s="26"/>
      <c r="H37" s="26"/>
      <c r="I37" s="26"/>
      <c r="J37" s="26"/>
      <c r="K37" s="26"/>
      <c r="L37" s="26"/>
      <c r="M37" s="26"/>
      <c r="N37" s="26"/>
      <c r="O37" s="26"/>
      <c r="P37" s="26"/>
      <c r="Q37" s="26"/>
      <c r="R37" s="26"/>
      <c r="S37" s="26"/>
      <c r="T37" s="26"/>
      <c r="U37" s="26"/>
      <c r="V37" s="26"/>
      <c r="W37" s="26"/>
      <c r="X37" s="26"/>
      <c r="Y37" s="27"/>
    </row>
    <row r="38" spans="1:25" ht="13.5" thickBot="1">
      <c r="A38" s="43"/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2"/>
      <c r="P38" s="12"/>
      <c r="Q38" s="12"/>
      <c r="R38" s="12"/>
      <c r="S38" s="12"/>
      <c r="T38" s="12"/>
      <c r="U38" s="12"/>
      <c r="V38" s="12"/>
      <c r="W38" s="12"/>
      <c r="X38" s="12"/>
      <c r="Y38" s="13"/>
    </row>
    <row r="39" spans="1:25" ht="13.5" thickBot="1">
      <c r="A39" s="43"/>
      <c r="B39" s="12"/>
      <c r="C39" s="44" t="s">
        <v>7</v>
      </c>
      <c r="D39" s="44" t="str">
        <f>IF(MAX('Plan inversión'!$D$8,'Plan financiación'!$H$42)&gt;0,"Año 1","")</f>
        <v>Año 1</v>
      </c>
      <c r="E39" s="45" t="str">
        <f>IF(MAX('Plan inversión'!$D$8,'Plan financiación'!$H$42)&gt;1,"Año 2","")</f>
        <v>Año 2</v>
      </c>
      <c r="F39" s="45" t="str">
        <f>IF(MAX('Plan inversión'!$D$8,'Plan financiación'!$H$42)&gt;2,"Año 3","")</f>
        <v>Año 3</v>
      </c>
      <c r="G39" s="45" t="str">
        <f>IF(MAX('Plan inversión'!$D$8,'Plan financiación'!$H$42)&gt;3,"Año 4","")</f>
        <v>Año 4</v>
      </c>
      <c r="H39" s="45" t="str">
        <f>IF(MAX('Plan inversión'!$D$8,'Plan financiación'!$H$42)&gt;4,"Año 5","")</f>
        <v>Año 5</v>
      </c>
      <c r="I39" s="45" t="str">
        <f>IF(MAX('Plan inversión'!$D$8,'Plan financiación'!$H$42)&gt;5,"Año 6","")</f>
        <v>Año 6</v>
      </c>
      <c r="J39" s="45" t="str">
        <f>IF(MAX('Plan inversión'!$D$8,'Plan financiación'!$H$42)&gt;6,"Año 7","")</f>
        <v>Año 7</v>
      </c>
      <c r="K39" s="45" t="str">
        <f>IF(MAX('Plan inversión'!$D$8,'Plan financiación'!$H$42)&gt;7,"Año 8","")</f>
        <v>Año 8</v>
      </c>
      <c r="L39" s="45" t="str">
        <f>IF(MAX('Plan inversión'!$D$8,'Plan financiación'!$H$42)&gt;8,"Año 9","")</f>
        <v>Año 9</v>
      </c>
      <c r="M39" s="45" t="str">
        <f>IF(MAX('Plan inversión'!$D$8,'Plan financiación'!$H$42)&gt;9,"Año 10","")</f>
        <v>Año 10</v>
      </c>
      <c r="N39" s="45" t="str">
        <f>IF(MAX('Plan inversión'!$D$8,'Plan financiación'!$H$42)&gt;10,"Año 11","")</f>
        <v>Año 11</v>
      </c>
      <c r="O39" s="45" t="str">
        <f>IF(MAX('Plan inversión'!$D$8,'Plan financiación'!$H$42)&gt;11,"Año 12","")</f>
        <v>Año 12</v>
      </c>
      <c r="P39" s="45" t="str">
        <f>IF(MAX('Plan inversión'!$D$8,'Plan financiación'!$H$42)&gt;12,"Año 13","")</f>
        <v>Año 13</v>
      </c>
      <c r="Q39" s="45" t="str">
        <f>IF(MAX('Plan inversión'!$D$8,'Plan financiación'!$H$42)&gt;13,"Año 14","")</f>
        <v>Año 14</v>
      </c>
      <c r="R39" s="45" t="str">
        <f>IF(MAX('Plan inversión'!$D$8,'Plan financiación'!$H$42)&gt;14,"Año 15","")</f>
        <v>Año 15</v>
      </c>
      <c r="S39" s="45" t="str">
        <f>IF(MAX('Plan inversión'!$D$8,'Plan financiación'!$H$42)&gt;15,"Año 16","")</f>
        <v>Año 16</v>
      </c>
      <c r="T39" s="45" t="str">
        <f>IF(MAX('Plan inversión'!$D$8,'Plan financiación'!$H$42)&gt;16,"Año 17","")</f>
        <v>Año 17</v>
      </c>
      <c r="U39" s="45" t="str">
        <f>IF(MAX('Plan inversión'!$D$8,'Plan financiación'!$H$42)&gt;17,"Año 18","")</f>
        <v>Año 18</v>
      </c>
      <c r="V39" s="45" t="str">
        <f>IF(MAX('Plan inversión'!$D$8,'Plan financiación'!$H$42)&gt;18,"Año 19","")</f>
        <v>Año 19</v>
      </c>
      <c r="W39" s="46" t="str">
        <f>IF(MAX('Plan inversión'!$D$8,'Plan financiación'!$H$42)&gt;19,"Año 20","")</f>
        <v>Año 20</v>
      </c>
      <c r="X39" s="12"/>
      <c r="Y39" s="13"/>
    </row>
    <row r="40" spans="1:25" ht="13.5" thickBot="1">
      <c r="A40" s="43"/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2"/>
      <c r="P40" s="12"/>
      <c r="Q40" s="12"/>
      <c r="R40" s="12"/>
      <c r="S40" s="12"/>
      <c r="T40" s="12"/>
      <c r="U40" s="12"/>
      <c r="V40" s="12"/>
      <c r="W40" s="12"/>
      <c r="X40" s="12"/>
      <c r="Y40" s="13"/>
    </row>
    <row r="41" spans="1:25" ht="13.5" thickBot="1">
      <c r="A41" s="43"/>
      <c r="B41" s="68" t="s">
        <v>58</v>
      </c>
      <c r="C41" s="54">
        <f>-'Plan inversión'!D4</f>
        <v>-55000</v>
      </c>
      <c r="D41" s="54">
        <f>IF('Plan inversión'!$D$8&gt;0,C41+D10,"")</f>
        <v>-63800</v>
      </c>
      <c r="E41" s="54">
        <f>IF('Plan inversión'!$D$8&gt;1,D41+E10,"")</f>
        <v>-72261.111708134064</v>
      </c>
      <c r="F41" s="54">
        <f>IF('Plan inversión'!$D$8&gt;2,E41+F10,"")</f>
        <v>-80365.101826890226</v>
      </c>
      <c r="G41" s="54">
        <f>IF('Plan inversión'!$D$8&gt;3,F41+G10,"")</f>
        <v>-83652.748060905826</v>
      </c>
      <c r="H41" s="54">
        <f>IF('Plan inversión'!$D$8&gt;4,G41+H10,"")</f>
        <v>-80951.532488209254</v>
      </c>
      <c r="I41" s="54">
        <f>IF('Plan inversión'!$D$8&gt;5,H41+I10,"")</f>
        <v>-77703.40311250891</v>
      </c>
      <c r="J41" s="54">
        <f>IF('Plan inversión'!$D$8&gt;6,I41+J10,"")</f>
        <v>-73877.303152583467</v>
      </c>
      <c r="K41" s="54">
        <f>IF('Plan inversión'!$D$8&gt;7,J41+K10,"")</f>
        <v>-69440.379483625467</v>
      </c>
      <c r="L41" s="54">
        <f>IF('Plan inversión'!$D$8&gt;8,K41+L10,"")</f>
        <v>-64357.876751056196</v>
      </c>
      <c r="M41" s="54">
        <f>IF('Plan inversión'!$D$8&gt;9,L41+M10,"")</f>
        <v>-58176.780662666832</v>
      </c>
      <c r="N41" s="54">
        <f>IF('Plan inversión'!$D$8&gt;10,M41+N10,"")</f>
        <v>-51392.930517108165</v>
      </c>
      <c r="O41" s="54">
        <f>IF('Plan inversión'!$D$8&gt;11,N41+O10,"")</f>
        <v>-43974.011070950044</v>
      </c>
      <c r="P41" s="54">
        <f>IF('Plan inversión'!$D$8&gt;12,O41+P10,"")</f>
        <v>-35885.960666156498</v>
      </c>
      <c r="Q41" s="54">
        <f>IF('Plan inversión'!$D$8&gt;13,P41+Q10,"")</f>
        <v>-27092.876070209397</v>
      </c>
      <c r="R41" s="54">
        <f>IF('Plan inversión'!$D$8&gt;14,Q41+R10,"")</f>
        <v>-17556.912087889534</v>
      </c>
      <c r="S41" s="54">
        <f>IF('Plan inversión'!$D$8&gt;15,R41+S10,"")</f>
        <v>-7238.1756550770333</v>
      </c>
      <c r="T41" s="54">
        <f>IF('Plan inversión'!$D$8&gt;16,S41+T10,"")</f>
        <v>3596.4975993760927</v>
      </c>
      <c r="U41" s="54">
        <f>IF('Plan inversión'!$D$8&gt;17,T41+U10,"")</f>
        <v>14972.904516551876</v>
      </c>
      <c r="V41" s="54">
        <f>IF('Plan inversión'!$D$8&gt;18,U41+V10,"")</f>
        <v>26918.131779586452</v>
      </c>
      <c r="W41" s="52">
        <f>IF('Plan inversión'!$D$8&gt;19,V41+W10,"")</f>
        <v>39460.620405772752</v>
      </c>
      <c r="X41" s="12"/>
      <c r="Y41" s="13"/>
    </row>
    <row r="42" spans="1:25">
      <c r="A42" s="43"/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2"/>
      <c r="P42" s="12"/>
      <c r="Q42" s="12"/>
      <c r="R42" s="12"/>
      <c r="S42" s="12"/>
      <c r="T42" s="12"/>
      <c r="U42" s="12"/>
      <c r="V42" s="12"/>
      <c r="W42" s="12"/>
      <c r="X42" s="12"/>
      <c r="Y42" s="13"/>
    </row>
    <row r="43" spans="1:25" ht="13.5" thickBot="1">
      <c r="A43" s="26"/>
      <c r="B43" s="26"/>
      <c r="C43" s="26"/>
      <c r="D43" s="26"/>
      <c r="E43" s="26"/>
      <c r="F43" s="26"/>
      <c r="G43" s="26"/>
      <c r="H43" s="26"/>
      <c r="I43" s="26"/>
      <c r="J43" s="26"/>
      <c r="K43" s="26"/>
      <c r="L43" s="26"/>
      <c r="M43" s="26"/>
      <c r="N43" s="26"/>
      <c r="O43" s="26"/>
      <c r="P43" s="26"/>
      <c r="Q43" s="26"/>
      <c r="R43" s="26"/>
      <c r="S43" s="26"/>
      <c r="T43" s="26"/>
      <c r="U43" s="26"/>
      <c r="V43" s="26"/>
      <c r="W43" s="26"/>
      <c r="X43" s="26"/>
      <c r="Y43" s="27"/>
    </row>
  </sheetData>
  <mergeCells count="3">
    <mergeCell ref="B33:C33"/>
    <mergeCell ref="B34:C34"/>
    <mergeCell ref="B31:C31"/>
  </mergeCells>
  <conditionalFormatting sqref="C20:C21 C25:C26 D31:W31 C12 C41:W41 C7:W7">
    <cfRule type="cellIs" dxfId="26" priority="51" operator="lessThan">
      <formula>0</formula>
    </cfRule>
  </conditionalFormatting>
  <conditionalFormatting sqref="C14">
    <cfRule type="cellIs" dxfId="25" priority="44" operator="lessThan">
      <formula>0</formula>
    </cfRule>
  </conditionalFormatting>
  <conditionalFormatting sqref="D24:X24">
    <cfRule type="cellIs" dxfId="24" priority="43" operator="lessThan">
      <formula>0</formula>
    </cfRule>
  </conditionalFormatting>
  <conditionalFormatting sqref="D19:X19">
    <cfRule type="cellIs" dxfId="23" priority="42" operator="lessThan">
      <formula>0</formula>
    </cfRule>
  </conditionalFormatting>
  <conditionalFormatting sqref="D10:X10">
    <cfRule type="cellIs" dxfId="22" priority="41" operator="lessThan">
      <formula>0</formula>
    </cfRule>
  </conditionalFormatting>
  <conditionalFormatting sqref="D9">
    <cfRule type="cellIs" dxfId="21" priority="38" operator="lessThan">
      <formula>0</formula>
    </cfRule>
  </conditionalFormatting>
  <conditionalFormatting sqref="E9:W9">
    <cfRule type="cellIs" dxfId="20" priority="37" operator="lessThan">
      <formula>0</formula>
    </cfRule>
  </conditionalFormatting>
  <conditionalFormatting sqref="E9">
    <cfRule type="cellIs" dxfId="19" priority="20" operator="lessThan">
      <formula>0</formula>
    </cfRule>
  </conditionalFormatting>
  <conditionalFormatting sqref="F9">
    <cfRule type="cellIs" dxfId="18" priority="19" operator="lessThan">
      <formula>0</formula>
    </cfRule>
  </conditionalFormatting>
  <conditionalFormatting sqref="G9">
    <cfRule type="cellIs" dxfId="17" priority="18" operator="lessThan">
      <formula>0</formula>
    </cfRule>
  </conditionalFormatting>
  <conditionalFormatting sqref="H9">
    <cfRule type="cellIs" dxfId="16" priority="17" operator="lessThan">
      <formula>0</formula>
    </cfRule>
  </conditionalFormatting>
  <conditionalFormatting sqref="I9">
    <cfRule type="cellIs" dxfId="15" priority="16" operator="lessThan">
      <formula>0</formula>
    </cfRule>
  </conditionalFormatting>
  <conditionalFormatting sqref="J9">
    <cfRule type="cellIs" dxfId="14" priority="15" operator="lessThan">
      <formula>0</formula>
    </cfRule>
  </conditionalFormatting>
  <conditionalFormatting sqref="K9">
    <cfRule type="cellIs" dxfId="13" priority="14" operator="lessThan">
      <formula>0</formula>
    </cfRule>
  </conditionalFormatting>
  <conditionalFormatting sqref="L9">
    <cfRule type="cellIs" dxfId="12" priority="13" operator="lessThan">
      <formula>0</formula>
    </cfRule>
  </conditionalFormatting>
  <conditionalFormatting sqref="M9">
    <cfRule type="cellIs" dxfId="11" priority="12" operator="lessThan">
      <formula>0</formula>
    </cfRule>
  </conditionalFormatting>
  <conditionalFormatting sqref="N9">
    <cfRule type="cellIs" dxfId="10" priority="11" operator="lessThan">
      <formula>0</formula>
    </cfRule>
  </conditionalFormatting>
  <conditionalFormatting sqref="O9">
    <cfRule type="cellIs" dxfId="9" priority="10" operator="lessThan">
      <formula>0</formula>
    </cfRule>
  </conditionalFormatting>
  <conditionalFormatting sqref="P9">
    <cfRule type="cellIs" dxfId="8" priority="9" operator="lessThan">
      <formula>0</formula>
    </cfRule>
  </conditionalFormatting>
  <conditionalFormatting sqref="Q9">
    <cfRule type="cellIs" dxfId="7" priority="8" operator="lessThan">
      <formula>0</formula>
    </cfRule>
  </conditionalFormatting>
  <conditionalFormatting sqref="R9">
    <cfRule type="cellIs" dxfId="6" priority="7" operator="lessThan">
      <formula>0</formula>
    </cfRule>
  </conditionalFormatting>
  <conditionalFormatting sqref="S9">
    <cfRule type="cellIs" dxfId="5" priority="6" operator="lessThan">
      <formula>0</formula>
    </cfRule>
  </conditionalFormatting>
  <conditionalFormatting sqref="T9">
    <cfRule type="cellIs" dxfId="4" priority="5" operator="lessThan">
      <formula>0</formula>
    </cfRule>
  </conditionalFormatting>
  <conditionalFormatting sqref="U9">
    <cfRule type="cellIs" dxfId="3" priority="4" operator="lessThan">
      <formula>0</formula>
    </cfRule>
  </conditionalFormatting>
  <conditionalFormatting sqref="V9">
    <cfRule type="cellIs" dxfId="2" priority="3" operator="lessThan">
      <formula>0</formula>
    </cfRule>
  </conditionalFormatting>
  <conditionalFormatting sqref="W9">
    <cfRule type="cellIs" dxfId="1" priority="2" operator="lessThan">
      <formula>0</formula>
    </cfRule>
  </conditionalFormatting>
  <conditionalFormatting sqref="X9">
    <cfRule type="cellIs" dxfId="0" priority="1" operator="lessThan">
      <formula>0</formula>
    </cfRule>
  </conditionalFormatting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O38"/>
  <sheetViews>
    <sheetView zoomScaleNormal="100" workbookViewId="0">
      <selection activeCell="H22" sqref="H22"/>
    </sheetView>
  </sheetViews>
  <sheetFormatPr baseColWidth="10" defaultRowHeight="15"/>
  <sheetData>
    <row r="1" spans="1:15">
      <c r="A1" s="159" t="s">
        <v>32</v>
      </c>
      <c r="B1" s="160"/>
      <c r="C1" s="160"/>
      <c r="D1" s="160"/>
      <c r="E1" s="160"/>
      <c r="F1" s="161"/>
      <c r="G1" s="2"/>
      <c r="H1" s="159" t="s">
        <v>33</v>
      </c>
      <c r="I1" s="160"/>
      <c r="J1" s="160"/>
      <c r="K1" s="160"/>
      <c r="L1" s="160"/>
      <c r="M1" s="161"/>
      <c r="N1" s="2"/>
      <c r="O1" s="3"/>
    </row>
    <row r="2" spans="1:15" ht="15.75" thickBot="1">
      <c r="A2" s="162"/>
      <c r="B2" s="163"/>
      <c r="C2" s="163"/>
      <c r="D2" s="163"/>
      <c r="E2" s="163"/>
      <c r="F2" s="164"/>
      <c r="G2" s="2"/>
      <c r="H2" s="162"/>
      <c r="I2" s="163"/>
      <c r="J2" s="163"/>
      <c r="K2" s="163"/>
      <c r="L2" s="163"/>
      <c r="M2" s="164"/>
      <c r="N2" s="2"/>
      <c r="O2" s="3"/>
    </row>
    <row r="3" spans="1:15">
      <c r="A3" s="1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3"/>
    </row>
    <row r="4" spans="1:15">
      <c r="A4" s="1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3"/>
    </row>
    <row r="5" spans="1:15">
      <c r="A5" s="1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3"/>
    </row>
    <row r="6" spans="1:15">
      <c r="A6" s="1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3"/>
    </row>
    <row r="7" spans="1:15">
      <c r="A7" s="1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3"/>
    </row>
    <row r="8" spans="1:15">
      <c r="A8" s="1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3"/>
    </row>
    <row r="9" spans="1:15">
      <c r="A9" s="1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3"/>
    </row>
    <row r="10" spans="1:15">
      <c r="A10" s="1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3"/>
    </row>
    <row r="11" spans="1:15">
      <c r="A11" s="1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3"/>
    </row>
    <row r="12" spans="1:15">
      <c r="A12" s="1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3"/>
    </row>
    <row r="13" spans="1:15">
      <c r="A13" s="1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3"/>
    </row>
    <row r="14" spans="1:15">
      <c r="A14" s="1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3"/>
    </row>
    <row r="15" spans="1:15">
      <c r="A15" s="1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3"/>
    </row>
    <row r="16" spans="1:15">
      <c r="A16" s="1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3"/>
    </row>
    <row r="17" spans="1:15">
      <c r="A17" s="1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3"/>
    </row>
    <row r="18" spans="1:15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3"/>
    </row>
    <row r="19" spans="1:15" ht="15.75" thickBot="1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3"/>
    </row>
    <row r="20" spans="1:15">
      <c r="A20" s="159" t="s">
        <v>34</v>
      </c>
      <c r="B20" s="160"/>
      <c r="C20" s="160"/>
      <c r="D20" s="160"/>
      <c r="E20" s="160"/>
      <c r="F20" s="161"/>
      <c r="G20" s="2"/>
      <c r="H20" s="2"/>
      <c r="I20" s="2"/>
      <c r="J20" s="2"/>
      <c r="K20" s="2"/>
      <c r="L20" s="2"/>
      <c r="M20" s="2"/>
      <c r="N20" s="2"/>
      <c r="O20" s="3"/>
    </row>
    <row r="21" spans="1:15" ht="15.75" thickBot="1">
      <c r="A21" s="162"/>
      <c r="B21" s="163"/>
      <c r="C21" s="163"/>
      <c r="D21" s="163"/>
      <c r="E21" s="163"/>
      <c r="F21" s="164"/>
      <c r="G21" s="2"/>
      <c r="H21" s="2"/>
      <c r="I21" s="2"/>
      <c r="J21" s="2"/>
      <c r="K21" s="2"/>
      <c r="L21" s="2"/>
      <c r="M21" s="2"/>
      <c r="N21" s="2"/>
      <c r="O21" s="3"/>
    </row>
    <row r="22" spans="1:15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3"/>
    </row>
    <row r="23" spans="1:15">
      <c r="A23" s="1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3"/>
    </row>
    <row r="24" spans="1:15">
      <c r="A24" s="1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3"/>
    </row>
    <row r="25" spans="1:15">
      <c r="A25" s="1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3"/>
    </row>
    <row r="26" spans="1:15">
      <c r="A26" s="1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3"/>
    </row>
    <row r="27" spans="1:15">
      <c r="A27" s="1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3"/>
    </row>
    <row r="28" spans="1:15">
      <c r="A28" s="1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3"/>
    </row>
    <row r="29" spans="1:15">
      <c r="A29" s="1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3"/>
    </row>
    <row r="30" spans="1:15">
      <c r="A30" s="1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3"/>
    </row>
    <row r="31" spans="1:15">
      <c r="A31" s="1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3"/>
    </row>
    <row r="32" spans="1:15">
      <c r="A32" s="1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3"/>
    </row>
    <row r="33" spans="1:15">
      <c r="A33" s="1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3"/>
    </row>
    <row r="34" spans="1:15">
      <c r="A34" s="1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3"/>
    </row>
    <row r="35" spans="1:15">
      <c r="A35" s="1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3"/>
    </row>
    <row r="36" spans="1:15">
      <c r="A36" s="1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3"/>
    </row>
    <row r="37" spans="1:15">
      <c r="A37" s="1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3"/>
    </row>
    <row r="38" spans="1:15" ht="15.75" thickBot="1">
      <c r="A38" s="4"/>
      <c r="B38" s="5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6"/>
    </row>
  </sheetData>
  <mergeCells count="3">
    <mergeCell ref="A1:F2"/>
    <mergeCell ref="H1:M2"/>
    <mergeCell ref="A20:F21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Plan inversión</vt:lpstr>
      <vt:lpstr>Plan financiación</vt:lpstr>
      <vt:lpstr>Análisis proyecto</vt:lpstr>
      <vt:lpstr>Gráficos</vt:lpstr>
    </vt:vector>
  </TitlesOfParts>
  <Company>Enginyeria i Arquitectura La Salle - URL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Quico</dc:creator>
  <cp:lastModifiedBy>Quico</cp:lastModifiedBy>
  <dcterms:created xsi:type="dcterms:W3CDTF">2010-11-19T10:16:25Z</dcterms:created>
  <dcterms:modified xsi:type="dcterms:W3CDTF">2012-01-29T18:48:33Z</dcterms:modified>
</cp:coreProperties>
</file>